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mo-at-zav\Desktop\Стажировки\Платная стажировка с 01.08.2024\"/>
    </mc:Choice>
  </mc:AlternateContent>
  <xr:revisionPtr revIDLastSave="0" documentId="13_ncr:1_{E3B14766-F21D-480E-B9BC-BFAD04E6E206}" xr6:coauthVersionLast="45" xr6:coauthVersionMax="45" xr10:uidLastSave="{00000000-0000-0000-0000-000000000000}"/>
  <bookViews>
    <workbookView xWindow="-120" yWindow="-120" windowWidth="29040" windowHeight="15720" tabRatio="775" activeTab="1" xr2:uid="{00000000-000D-0000-FFFF-FFFF00000000}"/>
  </bookViews>
  <sheets>
    <sheet name="+_Информация об уровне плат РБ" sheetId="101" r:id="rId1"/>
    <sheet name="+_Информация об уровне плат ИГ" sheetId="111" r:id="rId2"/>
    <sheet name="Лист1" sheetId="109" r:id="rId3"/>
    <sheet name="Калькуляция рб" sheetId="107" r:id="rId4"/>
    <sheet name="Калькуляция ИГ" sheetId="110" r:id="rId5"/>
    <sheet name="Зарплата за минуту " sheetId="71" r:id="rId6"/>
    <sheet name="Дополнительная зп (2)" sheetId="105" r:id="rId7"/>
    <sheet name="Взносы" sheetId="108" r:id="rId8"/>
    <sheet name="--Накладные расчеты на 2024 (2)" sheetId="97" r:id="rId9"/>
    <sheet name="--Доп. зарплата (2)" sheetId="98" r:id="rId10"/>
    <sheet name="Лист2" sheetId="10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4" hidden="1">'Калькуляция ИГ'!$A$5:$S$60</definedName>
    <definedName name="_xlnm._FilterDatabase" localSheetId="3" hidden="1">'Калькуляция рб'!$A$5:$S$60</definedName>
    <definedName name="rfkmrekzwbz" localSheetId="1">'[1]Ут план'!#REF!</definedName>
    <definedName name="rfkmrekzwbz" localSheetId="7">'[1]Ут план'!#REF!</definedName>
    <definedName name="rfkmrekzwbz" localSheetId="5">'[1]Ут план'!#REF!</definedName>
    <definedName name="rfkmrekzwbz" localSheetId="4">'[1]Ут план'!#REF!</definedName>
    <definedName name="rfkmrekzwbz">'[1]Ут план'!#REF!</definedName>
    <definedName name="А1" localSheetId="1">#REF!</definedName>
    <definedName name="А1" localSheetId="0">#REF!</definedName>
    <definedName name="А1" localSheetId="7">#REF!</definedName>
    <definedName name="А1" localSheetId="5">#REF!</definedName>
    <definedName name="А1" localSheetId="4">#REF!</definedName>
    <definedName name="А1">#REF!</definedName>
    <definedName name="времнорма" localSheetId="1">'[2]доп ЗП'!#REF!</definedName>
    <definedName name="времнорма" localSheetId="7">'[2]доп ЗП'!#REF!</definedName>
    <definedName name="времнорма" localSheetId="5">'[3]доп ЗП'!#REF!</definedName>
    <definedName name="времнорма" localSheetId="4">'[2]доп ЗП'!#REF!</definedName>
    <definedName name="времнорма">'[2]доп ЗП'!#REF!</definedName>
    <definedName name="всего" localSheetId="1">#REF!</definedName>
    <definedName name="всего" localSheetId="7">#REF!</definedName>
    <definedName name="всего" localSheetId="5">#REF!</definedName>
    <definedName name="всего" localSheetId="4">#REF!</definedName>
    <definedName name="всего">#REF!</definedName>
    <definedName name="всего.плат." localSheetId="1">#REF!</definedName>
    <definedName name="всего.плат." localSheetId="7">#REF!</definedName>
    <definedName name="всего.плат." localSheetId="5">#REF!</definedName>
    <definedName name="всего.плат." localSheetId="4">#REF!</definedName>
    <definedName name="всего.плат.">#REF!</definedName>
    <definedName name="доля" localSheetId="1">#REF!</definedName>
    <definedName name="доля" localSheetId="7">#REF!</definedName>
    <definedName name="доля" localSheetId="4">#REF!</definedName>
    <definedName name="доля">#REF!</definedName>
    <definedName name="допзп" localSheetId="1">#REF!</definedName>
    <definedName name="допзп" localSheetId="7">#REF!</definedName>
    <definedName name="допзп" localSheetId="4">#REF!</definedName>
    <definedName name="допзп">#REF!</definedName>
    <definedName name="_xlnm.Print_Titles" localSheetId="1">'+_Информация об уровне плат ИГ'!$6:$7</definedName>
    <definedName name="_xlnm.Print_Titles" localSheetId="0">'+_Информация об уровне плат РБ'!$6:$7</definedName>
    <definedName name="_xlnm.Print_Titles" localSheetId="5">'Зарплата за минуту '!$8:$8</definedName>
    <definedName name="_xlnm.Print_Titles" localSheetId="4">'Калькуляция ИГ'!$7:$8</definedName>
    <definedName name="_xlnm.Print_Titles" localSheetId="3">'Калькуляция рб'!$7:$8</definedName>
    <definedName name="_xlnm.Print_Titles" localSheetId="8">'--Накладные расчеты на 2024 (2)'!$9:$9</definedName>
    <definedName name="зан" localSheetId="1">#REF!</definedName>
    <definedName name="зан" localSheetId="7">#REF!</definedName>
    <definedName name="зан" localSheetId="5">#REF!</definedName>
    <definedName name="зан" localSheetId="4">#REF!</definedName>
    <definedName name="зан">#REF!</definedName>
    <definedName name="зар" localSheetId="1">'[4]Ут план'!#REF!</definedName>
    <definedName name="зар" localSheetId="7">'[4]Ут план'!#REF!</definedName>
    <definedName name="зар" localSheetId="5">'[4]Ут план'!#REF!</definedName>
    <definedName name="зар" localSheetId="4">'[4]Ут план'!#REF!</definedName>
    <definedName name="зар">'[4]Ут план'!#REF!</definedName>
    <definedName name="зарпл" localSheetId="1">'[5]Ут план'!#REF!</definedName>
    <definedName name="зарпл" localSheetId="7">'[5]Ут план'!#REF!</definedName>
    <definedName name="зарпл" localSheetId="5">'[5]Ут план'!#REF!</definedName>
    <definedName name="зарпл" localSheetId="4">'[5]Ут план'!#REF!</definedName>
    <definedName name="зарпл">'[5]Ут план'!#REF!</definedName>
    <definedName name="ЗПмед." localSheetId="1">#REF!</definedName>
    <definedName name="ЗПмед." localSheetId="7">#REF!</definedName>
    <definedName name="ЗПмед." localSheetId="5">#REF!</definedName>
    <definedName name="ЗПмед." localSheetId="4">#REF!</definedName>
    <definedName name="ЗПмед.">#REF!</definedName>
    <definedName name="комм" localSheetId="1">'[5]Ут план'!#REF!</definedName>
    <definedName name="комм" localSheetId="7">'[5]Ут план'!#REF!</definedName>
    <definedName name="комм" localSheetId="5">'[5]Ут план'!#REF!</definedName>
    <definedName name="комм" localSheetId="4">'[5]Ут план'!#REF!</definedName>
    <definedName name="комм">'[5]Ут план'!#REF!</definedName>
    <definedName name="медик" localSheetId="1">'[5]Ут план'!#REF!</definedName>
    <definedName name="медик" localSheetId="7">'[5]Ут план'!#REF!</definedName>
    <definedName name="медик" localSheetId="5">'[5]Ут план'!#REF!</definedName>
    <definedName name="медик" localSheetId="4">'[5]Ут план'!#REF!</definedName>
    <definedName name="медик">'[5]Ут план'!#REF!</definedName>
    <definedName name="Мин.ЗП" localSheetId="1">#REF!</definedName>
    <definedName name="Мин.ЗП" localSheetId="7">#REF!</definedName>
    <definedName name="Мин.ЗП" localSheetId="5">#REF!</definedName>
    <definedName name="Мин.ЗП" localSheetId="4">#REF!</definedName>
    <definedName name="Мин.ЗП">#REF!</definedName>
    <definedName name="Навг" localSheetId="1">#REF!</definedName>
    <definedName name="Навг" localSheetId="7">#REF!</definedName>
    <definedName name="Навг" localSheetId="5">#REF!</definedName>
    <definedName name="Навг" localSheetId="4">#REF!</definedName>
    <definedName name="Навг">#REF!</definedName>
    <definedName name="накл" localSheetId="1">#REF!</definedName>
    <definedName name="накл" localSheetId="7">#REF!</definedName>
    <definedName name="накл" localSheetId="5">#REF!</definedName>
    <definedName name="накл" localSheetId="4">#REF!</definedName>
    <definedName name="накл">#REF!</definedName>
    <definedName name="Напр" localSheetId="1">#REF!</definedName>
    <definedName name="Напр" localSheetId="7">#REF!</definedName>
    <definedName name="Напр" localSheetId="4">#REF!</definedName>
    <definedName name="Напр">#REF!</definedName>
    <definedName name="Ндек" localSheetId="1">#REF!</definedName>
    <definedName name="Ндек" localSheetId="7">#REF!</definedName>
    <definedName name="Ндек" localSheetId="4">#REF!</definedName>
    <definedName name="Ндек">#REF!</definedName>
    <definedName name="Ниюл" localSheetId="1">#REF!</definedName>
    <definedName name="Ниюл" localSheetId="7">#REF!</definedName>
    <definedName name="Ниюл" localSheetId="4">#REF!</definedName>
    <definedName name="Ниюл">#REF!</definedName>
    <definedName name="Ниюн" localSheetId="1">#REF!</definedName>
    <definedName name="Ниюн" localSheetId="7">#REF!</definedName>
    <definedName name="Ниюн" localSheetId="4">#REF!</definedName>
    <definedName name="Ниюн">#REF!</definedName>
    <definedName name="Нмай" localSheetId="1">#REF!</definedName>
    <definedName name="Нмай" localSheetId="7">#REF!</definedName>
    <definedName name="Нмай" localSheetId="4">#REF!</definedName>
    <definedName name="Нмай">#REF!</definedName>
    <definedName name="Нмар" localSheetId="1">#REF!</definedName>
    <definedName name="Нмар" localSheetId="7">#REF!</definedName>
    <definedName name="Нмар" localSheetId="4">#REF!</definedName>
    <definedName name="Нмар">#REF!</definedName>
    <definedName name="Нноя" localSheetId="1">#REF!</definedName>
    <definedName name="Нноя" localSheetId="7">#REF!</definedName>
    <definedName name="Нноя" localSheetId="4">#REF!</definedName>
    <definedName name="Нноя">#REF!</definedName>
    <definedName name="Нокт" localSheetId="1">#REF!</definedName>
    <definedName name="Нокт" localSheetId="7">#REF!</definedName>
    <definedName name="Нокт" localSheetId="4">#REF!</definedName>
    <definedName name="Нокт">#REF!</definedName>
    <definedName name="ночноя" localSheetId="1">#REF!</definedName>
    <definedName name="ночноя" localSheetId="7">#REF!</definedName>
    <definedName name="ночноя" localSheetId="4">#REF!</definedName>
    <definedName name="ночноя">#REF!</definedName>
    <definedName name="ночь" localSheetId="1">#REF!</definedName>
    <definedName name="ночь" localSheetId="7">#REF!</definedName>
    <definedName name="ночь" localSheetId="4">#REF!</definedName>
    <definedName name="ночь">#REF!</definedName>
    <definedName name="НочьАпр" localSheetId="1">#REF!</definedName>
    <definedName name="НочьАпр" localSheetId="7">#REF!</definedName>
    <definedName name="НочьАпр" localSheetId="4">#REF!</definedName>
    <definedName name="НочьАпр">#REF!</definedName>
    <definedName name="Нсен" localSheetId="1">#REF!</definedName>
    <definedName name="Нсен" localSheetId="7">#REF!</definedName>
    <definedName name="Нсен" localSheetId="4">#REF!</definedName>
    <definedName name="Нсен">#REF!</definedName>
    <definedName name="Нфев" localSheetId="1">#REF!</definedName>
    <definedName name="Нфев" localSheetId="7">#REF!</definedName>
    <definedName name="Нфев" localSheetId="4">#REF!</definedName>
    <definedName name="Нфев">#REF!</definedName>
    <definedName name="Нянв" localSheetId="1">#REF!</definedName>
    <definedName name="Нянв" localSheetId="7">#REF!</definedName>
    <definedName name="Нянв" localSheetId="4">#REF!</definedName>
    <definedName name="Нянв">#REF!</definedName>
    <definedName name="_xlnm.Print_Area" localSheetId="9">'--Доп. зарплата (2)'!$A$1:$D$51</definedName>
    <definedName name="_xlnm.Print_Area" localSheetId="4">'Калькуляция ИГ'!$A$1:$U$68</definedName>
    <definedName name="_xlnm.Print_Area" localSheetId="3">'Калькуляция рб'!$A$1:$U$68</definedName>
    <definedName name="_xlnm.Print_Area" localSheetId="8">'--Накладные расчеты на 2024 (2)'!$A$1:$H$44</definedName>
    <definedName name="пит" localSheetId="1">'[5]Ут план'!#REF!</definedName>
    <definedName name="пит" localSheetId="7">'[5]Ут план'!#REF!</definedName>
    <definedName name="пит" localSheetId="5">'[5]Ут план'!#REF!</definedName>
    <definedName name="пит" localSheetId="4">'[5]Ут план'!#REF!</definedName>
    <definedName name="пит">'[5]Ут план'!#REF!</definedName>
    <definedName name="премия" localSheetId="1">#REF!</definedName>
    <definedName name="премия" localSheetId="7">#REF!</definedName>
    <definedName name="премия" localSheetId="5">#REF!</definedName>
    <definedName name="премия" localSheetId="4">#REF!</definedName>
    <definedName name="премия">#REF!</definedName>
    <definedName name="проч" localSheetId="1">'[5]Ут план'!#REF!</definedName>
    <definedName name="проч" localSheetId="7">'[5]Ут план'!#REF!</definedName>
    <definedName name="проч" localSheetId="5">'[5]Ут план'!#REF!</definedName>
    <definedName name="проч" localSheetId="4">'[5]Ут план'!#REF!</definedName>
    <definedName name="проч">'[5]Ут план'!#REF!</definedName>
    <definedName name="соц" localSheetId="1">#REF!</definedName>
    <definedName name="соц" localSheetId="7">#REF!</definedName>
    <definedName name="соц" localSheetId="5">#REF!</definedName>
    <definedName name="соц" localSheetId="4">#REF!</definedName>
    <definedName name="соц">#REF!</definedName>
    <definedName name="Ср.ст." localSheetId="1">#REF!</definedName>
    <definedName name="Ср.ст." localSheetId="7">#REF!</definedName>
    <definedName name="Ср.ст." localSheetId="5">#REF!</definedName>
    <definedName name="Ср.ст." localSheetId="4">#REF!</definedName>
    <definedName name="Ср.ст.">#REF!</definedName>
    <definedName name="Ср.ст.ноч" localSheetId="1">#REF!</definedName>
    <definedName name="Ср.ст.ноч" localSheetId="7">#REF!</definedName>
    <definedName name="Ср.ст.ноч" localSheetId="5">#REF!</definedName>
    <definedName name="Ср.ст.ноч" localSheetId="4">#REF!</definedName>
    <definedName name="Ср.ст.ноч">#REF!</definedName>
    <definedName name="Ср.ст.пр.">'[6]Осн. окл.'!$E$14</definedName>
    <definedName name="Ср.ст.пр.ноч">'[6]Осн. окл.'!$J$14</definedName>
    <definedName name="Ср.ст.сторож" localSheetId="1">#REF!</definedName>
    <definedName name="Ср.ст.сторож" localSheetId="7">#REF!</definedName>
    <definedName name="Ср.ст.сторож" localSheetId="5">#REF!</definedName>
    <definedName name="Ср.ст.сторож" localSheetId="4">#REF!</definedName>
    <definedName name="Ср.ст.сторож">#REF!</definedName>
    <definedName name="Тар.ставка" localSheetId="1">#REF!</definedName>
    <definedName name="Тар.ставка" localSheetId="7">#REF!</definedName>
    <definedName name="Тар.ставка" localSheetId="5">#REF!</definedName>
    <definedName name="Тар.ставка" localSheetId="4">#REF!</definedName>
    <definedName name="Тар.ставка">#REF!</definedName>
    <definedName name="Фондгод" localSheetId="1">#REF!</definedName>
    <definedName name="Фондгод" localSheetId="7">#REF!</definedName>
    <definedName name="Фондгод" localSheetId="5">#REF!</definedName>
    <definedName name="Фондгод" localSheetId="4">#REF!</definedName>
    <definedName name="Фондгод">#REF!</definedName>
    <definedName name="Фондмес" localSheetId="1">#REF!</definedName>
    <definedName name="Фондмес" localSheetId="7">#REF!</definedName>
    <definedName name="Фондмес" localSheetId="4">#REF!</definedName>
    <definedName name="Фондме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8" i="111" l="1"/>
  <c r="B57" i="111"/>
  <c r="B56" i="111"/>
  <c r="B55" i="111"/>
  <c r="B54" i="111"/>
  <c r="B52" i="111"/>
  <c r="B51" i="111"/>
  <c r="B50" i="111"/>
  <c r="B49" i="111"/>
  <c r="B48" i="111"/>
  <c r="B47" i="111"/>
  <c r="B46" i="111"/>
  <c r="B45" i="111"/>
  <c r="B44" i="111"/>
  <c r="B43" i="111"/>
  <c r="B42" i="111"/>
  <c r="B40" i="111"/>
  <c r="B39" i="111"/>
  <c r="B38" i="111"/>
  <c r="B37" i="111"/>
  <c r="B36" i="111"/>
  <c r="G35" i="111"/>
  <c r="F35" i="111"/>
  <c r="E35" i="111"/>
  <c r="B34" i="111"/>
  <c r="G33" i="111"/>
  <c r="F33" i="111"/>
  <c r="E33" i="111"/>
  <c r="B32" i="111"/>
  <c r="B31" i="111"/>
  <c r="G30" i="111"/>
  <c r="F30" i="111"/>
  <c r="E30" i="111"/>
  <c r="B29" i="111"/>
  <c r="B28" i="111"/>
  <c r="B27" i="111"/>
  <c r="B26" i="111"/>
  <c r="G25" i="111"/>
  <c r="F25" i="111"/>
  <c r="E25" i="111"/>
  <c r="B23" i="111"/>
  <c r="B22" i="111"/>
  <c r="B21" i="111"/>
  <c r="B20" i="111"/>
  <c r="B19" i="111"/>
  <c r="G18" i="111"/>
  <c r="F18" i="111"/>
  <c r="E18" i="111"/>
  <c r="B17" i="111"/>
  <c r="B16" i="111"/>
  <c r="B15" i="111"/>
  <c r="B14" i="111"/>
  <c r="B13" i="111"/>
  <c r="B12" i="111"/>
  <c r="B11" i="111"/>
  <c r="B10" i="111"/>
  <c r="B9" i="111"/>
  <c r="AA60" i="110"/>
  <c r="U60" i="110"/>
  <c r="D60" i="110"/>
  <c r="C60" i="110"/>
  <c r="AA59" i="110"/>
  <c r="U59" i="110"/>
  <c r="D59" i="110"/>
  <c r="C59" i="110"/>
  <c r="AA58" i="110"/>
  <c r="U58" i="110"/>
  <c r="D58" i="110"/>
  <c r="C58" i="110"/>
  <c r="AA57" i="110"/>
  <c r="U57" i="110"/>
  <c r="D57" i="110"/>
  <c r="C57" i="110"/>
  <c r="AA56" i="110"/>
  <c r="Z56" i="110"/>
  <c r="Y56" i="110"/>
  <c r="V56" i="110"/>
  <c r="R56" i="110"/>
  <c r="S56" i="110" s="1"/>
  <c r="D54" i="111" s="1"/>
  <c r="G54" i="111" s="1"/>
  <c r="P56" i="110"/>
  <c r="H56" i="110"/>
  <c r="W56" i="110" s="1"/>
  <c r="AB56" i="110" s="1"/>
  <c r="D56" i="110"/>
  <c r="AA55" i="110"/>
  <c r="Z55" i="110"/>
  <c r="Y55" i="110"/>
  <c r="V55" i="110"/>
  <c r="P55" i="110"/>
  <c r="H55" i="110"/>
  <c r="W55" i="110" s="1"/>
  <c r="AA54" i="110"/>
  <c r="D54" i="110"/>
  <c r="AA53" i="110"/>
  <c r="D53" i="110"/>
  <c r="AA52" i="110"/>
  <c r="D52" i="110"/>
  <c r="C52" i="110"/>
  <c r="AA51" i="110"/>
  <c r="D51" i="110"/>
  <c r="C51" i="110"/>
  <c r="AA50" i="110"/>
  <c r="D50" i="110"/>
  <c r="C50" i="110"/>
  <c r="AA49" i="110"/>
  <c r="D49" i="110"/>
  <c r="AA48" i="110"/>
  <c r="D48" i="110"/>
  <c r="C48" i="110"/>
  <c r="AA47" i="110"/>
  <c r="D47" i="110"/>
  <c r="C47" i="110"/>
  <c r="AA46" i="110"/>
  <c r="D46" i="110"/>
  <c r="AA45" i="110"/>
  <c r="D45" i="110"/>
  <c r="AA44" i="110"/>
  <c r="D44" i="110"/>
  <c r="C44" i="110"/>
  <c r="AF43" i="110"/>
  <c r="AA43" i="110"/>
  <c r="Z43" i="110"/>
  <c r="Y43" i="110"/>
  <c r="W43" i="110"/>
  <c r="V43" i="110"/>
  <c r="AA42" i="110"/>
  <c r="D42" i="110"/>
  <c r="AA41" i="110"/>
  <c r="D41" i="110"/>
  <c r="AA40" i="110"/>
  <c r="D40" i="110"/>
  <c r="AA39" i="110"/>
  <c r="D39" i="110"/>
  <c r="AA38" i="110"/>
  <c r="D38" i="110"/>
  <c r="AA37" i="110"/>
  <c r="AA36" i="110"/>
  <c r="D36" i="110"/>
  <c r="P35" i="110"/>
  <c r="H35" i="110"/>
  <c r="D34" i="110"/>
  <c r="AA33" i="110"/>
  <c r="D33" i="110"/>
  <c r="AA32" i="110"/>
  <c r="P32" i="110"/>
  <c r="H32" i="110"/>
  <c r="AA31" i="110"/>
  <c r="D31" i="110"/>
  <c r="AA30" i="110"/>
  <c r="D30" i="110"/>
  <c r="AA29" i="110"/>
  <c r="D29" i="110"/>
  <c r="AA28" i="110"/>
  <c r="D28" i="110"/>
  <c r="AA27" i="110"/>
  <c r="R27" i="110"/>
  <c r="P27" i="110"/>
  <c r="H27" i="110"/>
  <c r="D26" i="110"/>
  <c r="AA25" i="110"/>
  <c r="D25" i="110"/>
  <c r="AA24" i="110"/>
  <c r="D24" i="110"/>
  <c r="AA23" i="110"/>
  <c r="D23" i="110"/>
  <c r="AA22" i="110"/>
  <c r="D22" i="110"/>
  <c r="AA21" i="110"/>
  <c r="D21" i="110"/>
  <c r="AA20" i="110"/>
  <c r="D20" i="110"/>
  <c r="AA19" i="110"/>
  <c r="R19" i="110"/>
  <c r="P19" i="110"/>
  <c r="AA18" i="110"/>
  <c r="D18" i="110"/>
  <c r="AA17" i="110"/>
  <c r="D17" i="110"/>
  <c r="AA16" i="110"/>
  <c r="D16" i="110"/>
  <c r="AA15" i="110"/>
  <c r="D15" i="110"/>
  <c r="AA14" i="110"/>
  <c r="D14" i="110"/>
  <c r="AA13" i="110"/>
  <c r="D13" i="110"/>
  <c r="AA12" i="110"/>
  <c r="D12" i="110"/>
  <c r="AA11" i="110"/>
  <c r="D11" i="110"/>
  <c r="AA10" i="110"/>
  <c r="D10" i="110"/>
  <c r="E54" i="111" l="1"/>
  <c r="F54" i="111"/>
  <c r="AD56" i="110"/>
  <c r="AF56" i="110" s="1"/>
  <c r="AC56" i="110"/>
  <c r="AB55" i="110"/>
  <c r="AB43" i="110"/>
  <c r="C52" i="107"/>
  <c r="C51" i="107"/>
  <c r="D16" i="105" l="1"/>
  <c r="E16" i="105" s="1"/>
  <c r="C16" i="105"/>
  <c r="X22" i="71"/>
  <c r="Y22" i="71"/>
  <c r="AA22" i="71"/>
  <c r="S22" i="71"/>
  <c r="U22" i="71"/>
  <c r="M22" i="71"/>
  <c r="K22" i="71"/>
  <c r="I22" i="71"/>
  <c r="D26" i="107"/>
  <c r="Z22" i="71" l="1"/>
  <c r="G22" i="71" s="1"/>
  <c r="AF43" i="107"/>
  <c r="AA16" i="107"/>
  <c r="AA17" i="107"/>
  <c r="AA18" i="107"/>
  <c r="AA19" i="107"/>
  <c r="AA20" i="107"/>
  <c r="AA21" i="107"/>
  <c r="AA22" i="107"/>
  <c r="AA23" i="107"/>
  <c r="AA24" i="107"/>
  <c r="AA25" i="107"/>
  <c r="AA27" i="107"/>
  <c r="AA28" i="107"/>
  <c r="AA29" i="107"/>
  <c r="AA30" i="107"/>
  <c r="AA31" i="107"/>
  <c r="AA32" i="107"/>
  <c r="AA33" i="107"/>
  <c r="AA36" i="107"/>
  <c r="AA37" i="107"/>
  <c r="AA38" i="107"/>
  <c r="AA39" i="107"/>
  <c r="AA40" i="107"/>
  <c r="AA41" i="107"/>
  <c r="AA42" i="107"/>
  <c r="AA43" i="107"/>
  <c r="AA44" i="107"/>
  <c r="AA45" i="107"/>
  <c r="AA46" i="107"/>
  <c r="AA47" i="107"/>
  <c r="AA48" i="107"/>
  <c r="AA49" i="107"/>
  <c r="AA50" i="107"/>
  <c r="AA51" i="107"/>
  <c r="AA52" i="107"/>
  <c r="AA53" i="107"/>
  <c r="AA54" i="107"/>
  <c r="AA55" i="107"/>
  <c r="AA56" i="107"/>
  <c r="AA57" i="107"/>
  <c r="AA58" i="107"/>
  <c r="AA59" i="107"/>
  <c r="AA60" i="107"/>
  <c r="AA11" i="107"/>
  <c r="AA12" i="107"/>
  <c r="AA13" i="107"/>
  <c r="AA14" i="107"/>
  <c r="AA15" i="107"/>
  <c r="V43" i="107"/>
  <c r="Y43" i="107"/>
  <c r="Z43" i="107"/>
  <c r="V55" i="107"/>
  <c r="Y55" i="107"/>
  <c r="Z55" i="107"/>
  <c r="V56" i="107"/>
  <c r="Y56" i="107"/>
  <c r="Z56" i="107"/>
  <c r="D22" i="71" l="1"/>
  <c r="E22" i="71" s="1"/>
  <c r="AB22" i="71"/>
  <c r="D10" i="107"/>
  <c r="E26" i="107" l="1"/>
  <c r="F26" i="107" s="1"/>
  <c r="E26" i="110"/>
  <c r="F26" i="110" s="1"/>
  <c r="E18" i="101"/>
  <c r="F18" i="101"/>
  <c r="G18" i="101"/>
  <c r="E25" i="101"/>
  <c r="F25" i="101"/>
  <c r="G25" i="101"/>
  <c r="E30" i="101"/>
  <c r="F30" i="101"/>
  <c r="G30" i="101"/>
  <c r="E33" i="101"/>
  <c r="F33" i="101"/>
  <c r="G33" i="101"/>
  <c r="E35" i="101"/>
  <c r="F35" i="101"/>
  <c r="G35" i="101"/>
  <c r="D40" i="105" l="1"/>
  <c r="D39" i="105"/>
  <c r="D38" i="105"/>
  <c r="D37" i="105"/>
  <c r="D36" i="105"/>
  <c r="D34" i="105"/>
  <c r="D33" i="105"/>
  <c r="D32" i="105"/>
  <c r="D31" i="105"/>
  <c r="D30" i="105"/>
  <c r="D28" i="105"/>
  <c r="D27" i="105"/>
  <c r="D25" i="105"/>
  <c r="D23" i="105"/>
  <c r="D21" i="105"/>
  <c r="D20" i="105"/>
  <c r="D19" i="105"/>
  <c r="D18" i="105"/>
  <c r="D15" i="105"/>
  <c r="D14" i="105"/>
  <c r="D13" i="105"/>
  <c r="D12" i="105"/>
  <c r="D6" i="105"/>
  <c r="D7" i="105"/>
  <c r="D8" i="105"/>
  <c r="D9" i="105"/>
  <c r="D10" i="105"/>
  <c r="D5" i="105"/>
  <c r="P19" i="107" l="1"/>
  <c r="P27" i="107"/>
  <c r="P32" i="107"/>
  <c r="P35" i="107"/>
  <c r="P55" i="107"/>
  <c r="P56" i="107"/>
  <c r="H56" i="107"/>
  <c r="W56" i="107" s="1"/>
  <c r="AB56" i="107" s="1"/>
  <c r="H55" i="107"/>
  <c r="W55" i="107" s="1"/>
  <c r="AB55" i="107" s="1"/>
  <c r="W43" i="107"/>
  <c r="AB43" i="107" s="1"/>
  <c r="H35" i="107"/>
  <c r="H32" i="107"/>
  <c r="H27" i="107"/>
  <c r="F46" i="71"/>
  <c r="F44" i="71"/>
  <c r="F45" i="71"/>
  <c r="F43" i="71"/>
  <c r="F40" i="71"/>
  <c r="F39" i="71"/>
  <c r="F38" i="71"/>
  <c r="F37" i="71"/>
  <c r="F36" i="71"/>
  <c r="F34" i="71"/>
  <c r="F33" i="71"/>
  <c r="F31" i="71"/>
  <c r="F29" i="71"/>
  <c r="F27" i="71"/>
  <c r="F26" i="71"/>
  <c r="F25" i="71"/>
  <c r="F24" i="71"/>
  <c r="F20" i="71"/>
  <c r="F19" i="71"/>
  <c r="F18" i="71"/>
  <c r="F16" i="71"/>
  <c r="F15" i="71"/>
  <c r="F12" i="71"/>
  <c r="F13" i="71"/>
  <c r="F14" i="71"/>
  <c r="F11" i="71"/>
  <c r="D60" i="107"/>
  <c r="D59" i="107"/>
  <c r="D58" i="107"/>
  <c r="D57" i="107"/>
  <c r="D56" i="107"/>
  <c r="D54" i="107"/>
  <c r="D53" i="107"/>
  <c r="D52" i="107"/>
  <c r="D51" i="107"/>
  <c r="D49" i="107"/>
  <c r="D48" i="107"/>
  <c r="D47" i="107"/>
  <c r="D46" i="107"/>
  <c r="D45" i="107"/>
  <c r="D44" i="107"/>
  <c r="D42" i="107"/>
  <c r="D41" i="107"/>
  <c r="D40" i="107"/>
  <c r="D39" i="107"/>
  <c r="D38" i="107"/>
  <c r="D36" i="107"/>
  <c r="D34" i="107"/>
  <c r="D33" i="107"/>
  <c r="D31" i="107"/>
  <c r="D30" i="107"/>
  <c r="D29" i="107"/>
  <c r="D28" i="107"/>
  <c r="D25" i="107"/>
  <c r="D24" i="107"/>
  <c r="D23" i="107"/>
  <c r="D22" i="107"/>
  <c r="D21" i="107"/>
  <c r="D20" i="107"/>
  <c r="D18" i="107"/>
  <c r="D17" i="107"/>
  <c r="D16" i="107"/>
  <c r="D15" i="107" l="1"/>
  <c r="D14" i="107"/>
  <c r="D13" i="107"/>
  <c r="D12" i="107"/>
  <c r="D11" i="107"/>
  <c r="B55" i="101"/>
  <c r="B56" i="101"/>
  <c r="B57" i="101"/>
  <c r="B58" i="101"/>
  <c r="B54" i="101"/>
  <c r="B43" i="101"/>
  <c r="B44" i="101"/>
  <c r="B45" i="101"/>
  <c r="B46" i="101"/>
  <c r="B47" i="101"/>
  <c r="B48" i="101"/>
  <c r="B49" i="101"/>
  <c r="B50" i="101"/>
  <c r="B51" i="101"/>
  <c r="B52" i="101"/>
  <c r="B42" i="101"/>
  <c r="B37" i="101"/>
  <c r="B38" i="101"/>
  <c r="B39" i="101"/>
  <c r="B40" i="101"/>
  <c r="B36" i="101"/>
  <c r="B34" i="101" l="1"/>
  <c r="B32" i="101"/>
  <c r="B31" i="101"/>
  <c r="B27" i="101"/>
  <c r="B28" i="101"/>
  <c r="B29" i="101"/>
  <c r="B26" i="101"/>
  <c r="B21" i="101"/>
  <c r="B22" i="101"/>
  <c r="B23" i="101"/>
  <c r="B20" i="101"/>
  <c r="B19" i="101"/>
  <c r="B17" i="101"/>
  <c r="B10" i="101"/>
  <c r="B11" i="101"/>
  <c r="B12" i="101"/>
  <c r="B13" i="101"/>
  <c r="B14" i="101"/>
  <c r="B15" i="101"/>
  <c r="B16" i="101"/>
  <c r="B9" i="101"/>
  <c r="D50" i="107"/>
  <c r="U58" i="107" l="1"/>
  <c r="U59" i="107"/>
  <c r="U60" i="107"/>
  <c r="U57" i="107"/>
  <c r="C59" i="107"/>
  <c r="C60" i="107"/>
  <c r="C58" i="107"/>
  <c r="C57" i="107"/>
  <c r="C50" i="107" l="1"/>
  <c r="C48" i="107"/>
  <c r="C47" i="107"/>
  <c r="C44" i="107"/>
  <c r="R27" i="107"/>
  <c r="R19" i="107"/>
  <c r="E8" i="105" l="1"/>
  <c r="C8" i="105"/>
  <c r="R56" i="107" l="1"/>
  <c r="S56" i="107" s="1"/>
  <c r="AC56" i="107" l="1"/>
  <c r="AD56" i="107" s="1"/>
  <c r="AF56" i="107" s="1"/>
  <c r="D54" i="101"/>
  <c r="E54" i="101" l="1"/>
  <c r="F54" i="101"/>
  <c r="G54" i="101"/>
  <c r="AA46" i="71"/>
  <c r="Y46" i="71"/>
  <c r="X46" i="71"/>
  <c r="W46" i="71"/>
  <c r="U46" i="71"/>
  <c r="S46" i="71"/>
  <c r="Q46" i="71"/>
  <c r="O46" i="71"/>
  <c r="M46" i="71"/>
  <c r="K46" i="71"/>
  <c r="I46" i="71"/>
  <c r="AA45" i="71"/>
  <c r="Y45" i="71"/>
  <c r="X45" i="71"/>
  <c r="W45" i="71"/>
  <c r="U45" i="71"/>
  <c r="S45" i="71"/>
  <c r="Q45" i="71"/>
  <c r="O45" i="71"/>
  <c r="M45" i="71"/>
  <c r="K45" i="71"/>
  <c r="I45" i="71"/>
  <c r="AA44" i="71"/>
  <c r="Y44" i="71"/>
  <c r="X44" i="71"/>
  <c r="W44" i="71"/>
  <c r="U44" i="71"/>
  <c r="S44" i="71"/>
  <c r="Q44" i="71"/>
  <c r="O44" i="71"/>
  <c r="M44" i="71"/>
  <c r="K44" i="71"/>
  <c r="I44" i="71"/>
  <c r="AA43" i="71"/>
  <c r="Y43" i="71"/>
  <c r="X43" i="71"/>
  <c r="W43" i="71"/>
  <c r="U43" i="71"/>
  <c r="S43" i="71"/>
  <c r="Q43" i="71"/>
  <c r="O43" i="71"/>
  <c r="M43" i="71"/>
  <c r="K43" i="71"/>
  <c r="I43" i="71"/>
  <c r="AA34" i="71"/>
  <c r="Y34" i="71"/>
  <c r="X34" i="71"/>
  <c r="W34" i="71"/>
  <c r="U34" i="71"/>
  <c r="S34" i="71"/>
  <c r="Q34" i="71"/>
  <c r="O34" i="71"/>
  <c r="M34" i="71"/>
  <c r="K34" i="71"/>
  <c r="I34" i="71"/>
  <c r="AA40" i="71"/>
  <c r="Y40" i="71"/>
  <c r="X40" i="71"/>
  <c r="W40" i="71"/>
  <c r="U40" i="71"/>
  <c r="S40" i="71"/>
  <c r="Q40" i="71"/>
  <c r="O40" i="71"/>
  <c r="M40" i="71"/>
  <c r="K40" i="71"/>
  <c r="I40" i="71"/>
  <c r="AA39" i="71"/>
  <c r="Y39" i="71"/>
  <c r="X39" i="71"/>
  <c r="W39" i="71"/>
  <c r="U39" i="71"/>
  <c r="S39" i="71"/>
  <c r="Q39" i="71"/>
  <c r="O39" i="71"/>
  <c r="M39" i="71"/>
  <c r="K39" i="71"/>
  <c r="I39" i="71"/>
  <c r="Z40" i="71" l="1"/>
  <c r="Z39" i="71"/>
  <c r="Z44" i="71"/>
  <c r="G44" i="71" s="1"/>
  <c r="Z45" i="71"/>
  <c r="Z34" i="71"/>
  <c r="G34" i="71" s="1"/>
  <c r="Z43" i="71"/>
  <c r="G43" i="71" s="1"/>
  <c r="AB43" i="71" s="1"/>
  <c r="Z46" i="71"/>
  <c r="G46" i="71" s="1"/>
  <c r="G45" i="71"/>
  <c r="AB45" i="71" s="1"/>
  <c r="G40" i="71"/>
  <c r="G39" i="71"/>
  <c r="AB39" i="71" s="1"/>
  <c r="AA38" i="71"/>
  <c r="Y38" i="71"/>
  <c r="X38" i="71"/>
  <c r="W38" i="71"/>
  <c r="U38" i="71"/>
  <c r="S38" i="71"/>
  <c r="Q38" i="71"/>
  <c r="O38" i="71"/>
  <c r="M38" i="71"/>
  <c r="K38" i="71"/>
  <c r="I38" i="71"/>
  <c r="AA37" i="71"/>
  <c r="Y37" i="71"/>
  <c r="X37" i="71"/>
  <c r="W37" i="71"/>
  <c r="U37" i="71"/>
  <c r="S37" i="71"/>
  <c r="Q37" i="71"/>
  <c r="O37" i="71"/>
  <c r="M37" i="71"/>
  <c r="K37" i="71"/>
  <c r="I37" i="71"/>
  <c r="AA36" i="71"/>
  <c r="Y36" i="71"/>
  <c r="X36" i="71"/>
  <c r="W36" i="71"/>
  <c r="U36" i="71"/>
  <c r="S36" i="71"/>
  <c r="Q36" i="71"/>
  <c r="O36" i="71"/>
  <c r="M36" i="71"/>
  <c r="K36" i="71"/>
  <c r="I36" i="71"/>
  <c r="R33" i="71"/>
  <c r="S33" i="71" s="1"/>
  <c r="AA33" i="71"/>
  <c r="Y33" i="71"/>
  <c r="X33" i="71"/>
  <c r="W33" i="71"/>
  <c r="U33" i="71"/>
  <c r="Q33" i="71"/>
  <c r="O33" i="71"/>
  <c r="M33" i="71"/>
  <c r="K33" i="71"/>
  <c r="I33" i="71"/>
  <c r="AA31" i="71"/>
  <c r="Y31" i="71"/>
  <c r="X31" i="71"/>
  <c r="W31" i="71"/>
  <c r="U31" i="71"/>
  <c r="S31" i="71"/>
  <c r="Q31" i="71"/>
  <c r="O31" i="71"/>
  <c r="M31" i="71"/>
  <c r="K31" i="71"/>
  <c r="I31" i="71"/>
  <c r="AA29" i="71"/>
  <c r="Y29" i="71"/>
  <c r="X29" i="71"/>
  <c r="W29" i="71"/>
  <c r="U29" i="71"/>
  <c r="S29" i="71"/>
  <c r="Q29" i="71"/>
  <c r="O29" i="71"/>
  <c r="M29" i="71"/>
  <c r="K29" i="71"/>
  <c r="I29" i="71"/>
  <c r="E59" i="107" l="1"/>
  <c r="F59" i="107" s="1"/>
  <c r="E59" i="110"/>
  <c r="F59" i="110" s="1"/>
  <c r="E51" i="110"/>
  <c r="F51" i="110" s="1"/>
  <c r="E50" i="110"/>
  <c r="F50" i="110" s="1"/>
  <c r="E57" i="107"/>
  <c r="F57" i="107" s="1"/>
  <c r="E57" i="110"/>
  <c r="F57" i="110" s="1"/>
  <c r="Y59" i="107"/>
  <c r="Z59" i="107"/>
  <c r="Y57" i="107"/>
  <c r="Z57" i="107"/>
  <c r="AB34" i="71"/>
  <c r="E42" i="107" s="1"/>
  <c r="F42" i="107" s="1"/>
  <c r="D34" i="71"/>
  <c r="E34" i="71" s="1"/>
  <c r="D39" i="71"/>
  <c r="E39" i="71" s="1"/>
  <c r="Z38" i="71"/>
  <c r="AB46" i="71"/>
  <c r="D46" i="71"/>
  <c r="E46" i="71" s="1"/>
  <c r="Z36" i="71"/>
  <c r="G36" i="71" s="1"/>
  <c r="AB36" i="71" s="1"/>
  <c r="Z29" i="71"/>
  <c r="G29" i="71" s="1"/>
  <c r="E50" i="107"/>
  <c r="F50" i="107" s="1"/>
  <c r="E51" i="107"/>
  <c r="F51" i="107" s="1"/>
  <c r="E40" i="107"/>
  <c r="F40" i="107" s="1"/>
  <c r="E39" i="107"/>
  <c r="F39" i="107" s="1"/>
  <c r="Z33" i="71"/>
  <c r="G33" i="71" s="1"/>
  <c r="AB33" i="71" s="1"/>
  <c r="D45" i="71"/>
  <c r="E45" i="71" s="1"/>
  <c r="AB44" i="71"/>
  <c r="D44" i="71"/>
  <c r="E44" i="71" s="1"/>
  <c r="D43" i="71"/>
  <c r="E43" i="71" s="1"/>
  <c r="AB40" i="71"/>
  <c r="D40" i="71"/>
  <c r="E40" i="71" s="1"/>
  <c r="G38" i="71"/>
  <c r="Z37" i="71"/>
  <c r="G37" i="71" s="1"/>
  <c r="Z31" i="71"/>
  <c r="G31" i="71" s="1"/>
  <c r="E38" i="107" l="1"/>
  <c r="F38" i="107" s="1"/>
  <c r="E38" i="110"/>
  <c r="F38" i="110" s="1"/>
  <c r="E53" i="110"/>
  <c r="F53" i="110" s="1"/>
  <c r="E54" i="110"/>
  <c r="F54" i="110" s="1"/>
  <c r="E52" i="110"/>
  <c r="F52" i="110" s="1"/>
  <c r="E60" i="107"/>
  <c r="F60" i="107" s="1"/>
  <c r="E60" i="110"/>
  <c r="F60" i="110" s="1"/>
  <c r="Z51" i="110"/>
  <c r="Y51" i="110"/>
  <c r="E45" i="110"/>
  <c r="F45" i="110" s="1"/>
  <c r="E46" i="110"/>
  <c r="F46" i="110" s="1"/>
  <c r="E44" i="110"/>
  <c r="F44" i="110" s="1"/>
  <c r="Z57" i="110"/>
  <c r="Y57" i="110"/>
  <c r="Z59" i="110"/>
  <c r="Y59" i="110"/>
  <c r="Y50" i="110"/>
  <c r="Z50" i="110"/>
  <c r="E40" i="110"/>
  <c r="F40" i="110" s="1"/>
  <c r="E39" i="110"/>
  <c r="F39" i="110" s="1"/>
  <c r="E42" i="110"/>
  <c r="F42" i="110" s="1"/>
  <c r="E41" i="110"/>
  <c r="F41" i="110" s="1"/>
  <c r="E58" i="107"/>
  <c r="F58" i="107" s="1"/>
  <c r="Z58" i="107" s="1"/>
  <c r="E58" i="110"/>
  <c r="F58" i="110" s="1"/>
  <c r="E41" i="107"/>
  <c r="F41" i="107" s="1"/>
  <c r="Z40" i="107"/>
  <c r="Y40" i="107"/>
  <c r="Y60" i="107"/>
  <c r="Z60" i="107"/>
  <c r="Z42" i="107"/>
  <c r="Y42" i="107"/>
  <c r="Y51" i="107"/>
  <c r="Z51" i="107"/>
  <c r="Y39" i="107"/>
  <c r="Z39" i="107"/>
  <c r="Z38" i="107"/>
  <c r="Y38" i="107"/>
  <c r="Y41" i="107"/>
  <c r="Z41" i="107"/>
  <c r="Z50" i="107"/>
  <c r="Y50" i="107"/>
  <c r="E46" i="107"/>
  <c r="F46" i="107" s="1"/>
  <c r="E45" i="107"/>
  <c r="F45" i="107" s="1"/>
  <c r="E44" i="107"/>
  <c r="F44" i="107" s="1"/>
  <c r="E54" i="107"/>
  <c r="F54" i="107" s="1"/>
  <c r="E53" i="107"/>
  <c r="F53" i="107" s="1"/>
  <c r="E52" i="107"/>
  <c r="F52" i="107" s="1"/>
  <c r="AB38" i="71"/>
  <c r="D38" i="71"/>
  <c r="E38" i="71" s="1"/>
  <c r="D37" i="71"/>
  <c r="E37" i="71" s="1"/>
  <c r="AB37" i="71"/>
  <c r="D36" i="71"/>
  <c r="E36" i="71" s="1"/>
  <c r="D33" i="71"/>
  <c r="E33" i="71" s="1"/>
  <c r="AB31" i="71"/>
  <c r="D31" i="71"/>
  <c r="E31" i="71" s="1"/>
  <c r="AB29" i="71"/>
  <c r="D29" i="71"/>
  <c r="E29" i="71" s="1"/>
  <c r="Z40" i="110" l="1"/>
  <c r="Y40" i="110"/>
  <c r="Z46" i="110"/>
  <c r="Y46" i="110"/>
  <c r="Z54" i="110"/>
  <c r="Y54" i="110"/>
  <c r="E34" i="110"/>
  <c r="F34" i="110" s="1"/>
  <c r="E33" i="110"/>
  <c r="F33" i="110" s="1"/>
  <c r="E49" i="110"/>
  <c r="F49" i="110" s="1"/>
  <c r="E48" i="110"/>
  <c r="F48" i="110" s="1"/>
  <c r="Y41" i="110"/>
  <c r="Z41" i="110"/>
  <c r="Z45" i="110"/>
  <c r="Y45" i="110"/>
  <c r="Y60" i="110"/>
  <c r="Z60" i="110"/>
  <c r="Y53" i="110"/>
  <c r="Z53" i="110"/>
  <c r="E47" i="107"/>
  <c r="F47" i="107" s="1"/>
  <c r="E47" i="110"/>
  <c r="F47" i="110" s="1"/>
  <c r="Y58" i="107"/>
  <c r="Y42" i="110"/>
  <c r="Z42" i="110"/>
  <c r="Y38" i="110"/>
  <c r="Z38" i="110"/>
  <c r="E36" i="107"/>
  <c r="F36" i="107" s="1"/>
  <c r="E36" i="110"/>
  <c r="F36" i="110" s="1"/>
  <c r="Z58" i="110"/>
  <c r="Y58" i="110"/>
  <c r="Y39" i="110"/>
  <c r="Z39" i="110"/>
  <c r="Y44" i="110"/>
  <c r="Z44" i="110"/>
  <c r="Y52" i="110"/>
  <c r="Z52" i="110"/>
  <c r="Y36" i="107"/>
  <c r="Z36" i="107"/>
  <c r="Y53" i="107"/>
  <c r="Z53" i="107"/>
  <c r="Z54" i="107"/>
  <c r="Y54" i="107"/>
  <c r="Z46" i="107"/>
  <c r="Y46" i="107"/>
  <c r="Z52" i="107"/>
  <c r="Y52" i="107"/>
  <c r="Z44" i="107"/>
  <c r="Y44" i="107"/>
  <c r="Y45" i="107"/>
  <c r="Z45" i="107"/>
  <c r="Y47" i="107"/>
  <c r="Z47" i="107"/>
  <c r="E34" i="107"/>
  <c r="F34" i="107" s="1"/>
  <c r="E33" i="107"/>
  <c r="F33" i="107" s="1"/>
  <c r="E49" i="107"/>
  <c r="F49" i="107" s="1"/>
  <c r="E48" i="107"/>
  <c r="F48" i="107" s="1"/>
  <c r="AA26" i="71"/>
  <c r="Y26" i="71"/>
  <c r="X26" i="71"/>
  <c r="W26" i="71"/>
  <c r="U26" i="71"/>
  <c r="S26" i="71"/>
  <c r="Q26" i="71"/>
  <c r="O26" i="71"/>
  <c r="M26" i="71"/>
  <c r="K26" i="71"/>
  <c r="I26" i="71"/>
  <c r="AA27" i="71"/>
  <c r="Y27" i="71"/>
  <c r="X27" i="71"/>
  <c r="W27" i="71"/>
  <c r="U27" i="71"/>
  <c r="S27" i="71"/>
  <c r="Q27" i="71"/>
  <c r="O27" i="71"/>
  <c r="M27" i="71"/>
  <c r="K27" i="71"/>
  <c r="I27" i="71"/>
  <c r="AA25" i="71"/>
  <c r="Y25" i="71"/>
  <c r="X25" i="71"/>
  <c r="W25" i="71"/>
  <c r="U25" i="71"/>
  <c r="S25" i="71"/>
  <c r="Q25" i="71"/>
  <c r="O25" i="71"/>
  <c r="M25" i="71"/>
  <c r="K25" i="71"/>
  <c r="I25" i="71"/>
  <c r="AA24" i="71"/>
  <c r="Y24" i="71"/>
  <c r="X24" i="71"/>
  <c r="W24" i="71"/>
  <c r="U24" i="71"/>
  <c r="S24" i="71"/>
  <c r="Q24" i="71"/>
  <c r="O24" i="71"/>
  <c r="M24" i="71"/>
  <c r="K24" i="71"/>
  <c r="I24" i="71"/>
  <c r="AA21" i="71"/>
  <c r="Y21" i="71"/>
  <c r="X21" i="71"/>
  <c r="W21" i="71"/>
  <c r="U21" i="71"/>
  <c r="S21" i="71"/>
  <c r="Q21" i="71"/>
  <c r="O21" i="71"/>
  <c r="M21" i="71"/>
  <c r="K21" i="71"/>
  <c r="I21" i="71"/>
  <c r="AA20" i="71"/>
  <c r="Y20" i="71"/>
  <c r="X20" i="71"/>
  <c r="W20" i="71"/>
  <c r="U20" i="71"/>
  <c r="S20" i="71"/>
  <c r="Q20" i="71"/>
  <c r="O20" i="71"/>
  <c r="M20" i="71"/>
  <c r="K20" i="71"/>
  <c r="I20" i="71"/>
  <c r="AA19" i="71"/>
  <c r="Y19" i="71"/>
  <c r="X19" i="71"/>
  <c r="W19" i="71"/>
  <c r="U19" i="71"/>
  <c r="S19" i="71"/>
  <c r="Q19" i="71"/>
  <c r="O19" i="71"/>
  <c r="M19" i="71"/>
  <c r="K19" i="71"/>
  <c r="I19" i="71"/>
  <c r="AA18" i="71"/>
  <c r="Y18" i="71"/>
  <c r="X18" i="71"/>
  <c r="W18" i="71"/>
  <c r="U18" i="71"/>
  <c r="S18" i="71"/>
  <c r="Q18" i="71"/>
  <c r="O18" i="71"/>
  <c r="M18" i="71"/>
  <c r="K18" i="71"/>
  <c r="I18" i="71"/>
  <c r="AA16" i="71"/>
  <c r="Y16" i="71"/>
  <c r="X16" i="71"/>
  <c r="W16" i="71"/>
  <c r="U16" i="71"/>
  <c r="S16" i="71"/>
  <c r="Q16" i="71"/>
  <c r="O16" i="71"/>
  <c r="M16" i="71"/>
  <c r="K16" i="71"/>
  <c r="I16" i="71"/>
  <c r="Y48" i="110" l="1"/>
  <c r="Z48" i="110"/>
  <c r="Z36" i="110"/>
  <c r="Y36" i="110"/>
  <c r="Y33" i="110"/>
  <c r="Z33" i="110"/>
  <c r="Z47" i="110"/>
  <c r="Y47" i="110"/>
  <c r="Y49" i="110"/>
  <c r="Z49" i="110"/>
  <c r="Z26" i="71"/>
  <c r="Z48" i="107"/>
  <c r="Y48" i="107"/>
  <c r="Y49" i="107"/>
  <c r="Z49" i="107"/>
  <c r="Z33" i="107"/>
  <c r="Y33" i="107"/>
  <c r="Z20" i="71"/>
  <c r="G20" i="71" s="1"/>
  <c r="D20" i="71" s="1"/>
  <c r="E20" i="71" s="1"/>
  <c r="Z21" i="71"/>
  <c r="G21" i="71" s="1"/>
  <c r="Z16" i="71"/>
  <c r="Z27" i="71"/>
  <c r="G27" i="71" s="1"/>
  <c r="Z18" i="71"/>
  <c r="G18" i="71" s="1"/>
  <c r="Z24" i="71"/>
  <c r="Z25" i="71"/>
  <c r="G25" i="71" s="1"/>
  <c r="G26" i="71"/>
  <c r="D26" i="71" s="1"/>
  <c r="E26" i="71" s="1"/>
  <c r="Z19" i="71"/>
  <c r="G19" i="71" s="1"/>
  <c r="AB19" i="71" s="1"/>
  <c r="G24" i="71"/>
  <c r="AB24" i="71" s="1"/>
  <c r="G16" i="71"/>
  <c r="AB16" i="71" s="1"/>
  <c r="E21" i="107" l="1"/>
  <c r="F21" i="107" s="1"/>
  <c r="E21" i="110"/>
  <c r="F21" i="110" s="1"/>
  <c r="E18" i="107"/>
  <c r="F18" i="107" s="1"/>
  <c r="E18" i="110"/>
  <c r="F18" i="110" s="1"/>
  <c r="E28" i="107"/>
  <c r="F28" i="107" s="1"/>
  <c r="E28" i="110"/>
  <c r="F28" i="110" s="1"/>
  <c r="Z18" i="107"/>
  <c r="Y18" i="107"/>
  <c r="Y28" i="107"/>
  <c r="Z28" i="107"/>
  <c r="Z21" i="107"/>
  <c r="Y21" i="107"/>
  <c r="D19" i="71"/>
  <c r="E19" i="71" s="1"/>
  <c r="AB20" i="71"/>
  <c r="D24" i="71"/>
  <c r="E24" i="71" s="1"/>
  <c r="AB25" i="71"/>
  <c r="D25" i="71"/>
  <c r="E25" i="71" s="1"/>
  <c r="AB26" i="71"/>
  <c r="D16" i="71"/>
  <c r="E16" i="71" s="1"/>
  <c r="AB27" i="71"/>
  <c r="D27" i="71"/>
  <c r="E27" i="71" s="1"/>
  <c r="AB21" i="71"/>
  <c r="D21" i="71"/>
  <c r="E21" i="71" s="1"/>
  <c r="AB18" i="71"/>
  <c r="D18" i="71"/>
  <c r="E18" i="71" s="1"/>
  <c r="Y18" i="110" l="1"/>
  <c r="G18" i="110"/>
  <c r="J18" i="110" s="1"/>
  <c r="Z18" i="110"/>
  <c r="K18" i="110"/>
  <c r="E20" i="107"/>
  <c r="F20" i="107" s="1"/>
  <c r="Y20" i="107" s="1"/>
  <c r="E20" i="110"/>
  <c r="F20" i="110" s="1"/>
  <c r="E31" i="107"/>
  <c r="F31" i="107" s="1"/>
  <c r="E31" i="110"/>
  <c r="F31" i="110" s="1"/>
  <c r="E29" i="107"/>
  <c r="F29" i="107" s="1"/>
  <c r="Z29" i="107" s="1"/>
  <c r="E29" i="110"/>
  <c r="F29" i="110" s="1"/>
  <c r="Z28" i="110"/>
  <c r="Y28" i="110"/>
  <c r="Y21" i="110"/>
  <c r="G21" i="110"/>
  <c r="L21" i="110" s="1"/>
  <c r="Z21" i="110"/>
  <c r="E25" i="110"/>
  <c r="F25" i="110" s="1"/>
  <c r="E23" i="110"/>
  <c r="F23" i="110" s="1"/>
  <c r="E24" i="110"/>
  <c r="F24" i="110" s="1"/>
  <c r="E30" i="107"/>
  <c r="F30" i="107" s="1"/>
  <c r="Z30" i="107" s="1"/>
  <c r="E30" i="110"/>
  <c r="F30" i="110" s="1"/>
  <c r="E22" i="107"/>
  <c r="F22" i="107" s="1"/>
  <c r="E22" i="110"/>
  <c r="F22" i="110" s="1"/>
  <c r="Y30" i="107"/>
  <c r="Y31" i="107"/>
  <c r="Z31" i="107"/>
  <c r="Y22" i="107"/>
  <c r="Z22" i="107"/>
  <c r="Z20" i="107"/>
  <c r="Y29" i="107"/>
  <c r="G31" i="107"/>
  <c r="L31" i="107" s="1"/>
  <c r="E25" i="107"/>
  <c r="F25" i="107" s="1"/>
  <c r="E23" i="107"/>
  <c r="F23" i="107" s="1"/>
  <c r="E24" i="107"/>
  <c r="F24" i="107" s="1"/>
  <c r="G22" i="107"/>
  <c r="L22" i="107" s="1"/>
  <c r="C40" i="105"/>
  <c r="E40" i="105" s="1"/>
  <c r="C39" i="105"/>
  <c r="E39" i="105" s="1"/>
  <c r="C38" i="105"/>
  <c r="E38" i="105" s="1"/>
  <c r="C37" i="105"/>
  <c r="E37" i="105" s="1"/>
  <c r="C36" i="105"/>
  <c r="E36" i="105" s="1"/>
  <c r="C34" i="105"/>
  <c r="E34" i="105" s="1"/>
  <c r="C33" i="105"/>
  <c r="E33" i="105" s="1"/>
  <c r="C32" i="105"/>
  <c r="E32" i="105" s="1"/>
  <c r="C31" i="105"/>
  <c r="E31" i="105" s="1"/>
  <c r="C30" i="105"/>
  <c r="E30" i="105" s="1"/>
  <c r="C28" i="105"/>
  <c r="E28" i="105" s="1"/>
  <c r="C27" i="105"/>
  <c r="E27" i="105" s="1"/>
  <c r="C25" i="105"/>
  <c r="E25" i="105" s="1"/>
  <c r="C23" i="105"/>
  <c r="E23" i="105" s="1"/>
  <c r="C21" i="105"/>
  <c r="E21" i="105" s="1"/>
  <c r="C20" i="105"/>
  <c r="E20" i="105" s="1"/>
  <c r="C19" i="105"/>
  <c r="E19" i="105" s="1"/>
  <c r="G29" i="107" s="1"/>
  <c r="I29" i="107" s="1"/>
  <c r="C18" i="105"/>
  <c r="E18" i="105" s="1"/>
  <c r="G28" i="107" s="1"/>
  <c r="K28" i="107" s="1"/>
  <c r="C15" i="105"/>
  <c r="E15" i="105" s="1"/>
  <c r="C14" i="105"/>
  <c r="E14" i="105" s="1"/>
  <c r="C13" i="105"/>
  <c r="E13" i="105" s="1"/>
  <c r="G21" i="107" s="1"/>
  <c r="I21" i="107" s="1"/>
  <c r="C12" i="105"/>
  <c r="E12" i="105" s="1"/>
  <c r="G20" i="107" s="1"/>
  <c r="L20" i="107" s="1"/>
  <c r="C10" i="105"/>
  <c r="E10" i="105" s="1"/>
  <c r="G18" i="107" s="1"/>
  <c r="C9" i="105"/>
  <c r="E9" i="105" s="1"/>
  <c r="C7" i="105"/>
  <c r="E7" i="105" s="1"/>
  <c r="C6" i="105"/>
  <c r="E6" i="105" s="1"/>
  <c r="C5" i="105"/>
  <c r="E5" i="105" s="1"/>
  <c r="L18" i="107" l="1"/>
  <c r="V18" i="107"/>
  <c r="I18" i="107"/>
  <c r="H18" i="107" s="1"/>
  <c r="W18" i="107" s="1"/>
  <c r="AB18" i="107" s="1"/>
  <c r="K18" i="107"/>
  <c r="J18" i="107"/>
  <c r="G33" i="107"/>
  <c r="G33" i="110"/>
  <c r="G34" i="107"/>
  <c r="G34" i="110"/>
  <c r="G46" i="110"/>
  <c r="G45" i="110"/>
  <c r="G45" i="107"/>
  <c r="G46" i="107"/>
  <c r="G44" i="107"/>
  <c r="G44" i="110"/>
  <c r="G53" i="110"/>
  <c r="G52" i="110"/>
  <c r="G52" i="107"/>
  <c r="G54" i="107"/>
  <c r="G54" i="110"/>
  <c r="G53" i="107"/>
  <c r="G59" i="107"/>
  <c r="G59" i="110"/>
  <c r="I28" i="107"/>
  <c r="H28" i="107" s="1"/>
  <c r="W28" i="107" s="1"/>
  <c r="AB28" i="107" s="1"/>
  <c r="G28" i="110"/>
  <c r="V29" i="110"/>
  <c r="G29" i="110"/>
  <c r="L29" i="110" s="1"/>
  <c r="Y29" i="110"/>
  <c r="Z29" i="110"/>
  <c r="Z20" i="110"/>
  <c r="Y20" i="110"/>
  <c r="G20" i="110"/>
  <c r="V20" i="110" s="1"/>
  <c r="J20" i="110"/>
  <c r="L20" i="110"/>
  <c r="G36" i="107"/>
  <c r="G36" i="110"/>
  <c r="G47" i="107"/>
  <c r="G47" i="110"/>
  <c r="G60" i="107"/>
  <c r="G60" i="110"/>
  <c r="G30" i="107"/>
  <c r="K30" i="107" s="1"/>
  <c r="V28" i="107"/>
  <c r="Y22" i="110"/>
  <c r="Z22" i="110"/>
  <c r="G22" i="110"/>
  <c r="V22" i="110" s="1"/>
  <c r="G24" i="110"/>
  <c r="J24" i="110" s="1"/>
  <c r="I24" i="110"/>
  <c r="H24" i="110" s="1"/>
  <c r="W24" i="110" s="1"/>
  <c r="Z24" i="110"/>
  <c r="Y24" i="110"/>
  <c r="V24" i="110"/>
  <c r="V18" i="110"/>
  <c r="AB18" i="110" s="1"/>
  <c r="L18" i="110"/>
  <c r="G38" i="107"/>
  <c r="G38" i="110"/>
  <c r="G49" i="107"/>
  <c r="G49" i="110"/>
  <c r="G48" i="110"/>
  <c r="G48" i="107"/>
  <c r="G57" i="107"/>
  <c r="G57" i="110"/>
  <c r="L21" i="107"/>
  <c r="L23" i="110"/>
  <c r="Z23" i="110"/>
  <c r="G23" i="110"/>
  <c r="Y23" i="110"/>
  <c r="J23" i="110"/>
  <c r="I23" i="110"/>
  <c r="H23" i="110" s="1"/>
  <c r="W23" i="110" s="1"/>
  <c r="V23" i="110"/>
  <c r="I21" i="110"/>
  <c r="J21" i="110"/>
  <c r="G31" i="110"/>
  <c r="Z31" i="110"/>
  <c r="Y31" i="110"/>
  <c r="J31" i="110"/>
  <c r="L31" i="110"/>
  <c r="I31" i="110"/>
  <c r="V31" i="110"/>
  <c r="I18" i="110"/>
  <c r="H18" i="110" s="1"/>
  <c r="W18" i="110" s="1"/>
  <c r="G26" i="110"/>
  <c r="G26" i="107"/>
  <c r="G41" i="107"/>
  <c r="G39" i="107"/>
  <c r="G40" i="107"/>
  <c r="G42" i="107"/>
  <c r="G40" i="110"/>
  <c r="G41" i="110"/>
  <c r="G42" i="110"/>
  <c r="G39" i="110"/>
  <c r="G51" i="107"/>
  <c r="G50" i="110"/>
  <c r="G50" i="107"/>
  <c r="G51" i="110"/>
  <c r="G58" i="107"/>
  <c r="G58" i="110"/>
  <c r="L28" i="107"/>
  <c r="J21" i="107"/>
  <c r="H21" i="107" s="1"/>
  <c r="W21" i="107" s="1"/>
  <c r="J28" i="107"/>
  <c r="V21" i="107"/>
  <c r="G30" i="110"/>
  <c r="L30" i="110" s="1"/>
  <c r="Y30" i="110"/>
  <c r="Z30" i="110"/>
  <c r="K30" i="110"/>
  <c r="V30" i="110"/>
  <c r="Y25" i="110"/>
  <c r="G25" i="110"/>
  <c r="I25" i="110" s="1"/>
  <c r="V25" i="110"/>
  <c r="Z25" i="110"/>
  <c r="J25" i="110"/>
  <c r="H25" i="110" s="1"/>
  <c r="W25" i="110" s="1"/>
  <c r="AB25" i="110" s="1"/>
  <c r="L25" i="110"/>
  <c r="V21" i="110"/>
  <c r="V31" i="107"/>
  <c r="V29" i="107"/>
  <c r="Z23" i="107"/>
  <c r="Y23" i="107"/>
  <c r="AB21" i="107"/>
  <c r="V20" i="107"/>
  <c r="V22" i="107"/>
  <c r="Z25" i="107"/>
  <c r="Y25" i="107"/>
  <c r="Y24" i="107"/>
  <c r="Z24" i="107"/>
  <c r="J31" i="107"/>
  <c r="L29" i="107"/>
  <c r="I31" i="107"/>
  <c r="K29" i="107"/>
  <c r="J20" i="107"/>
  <c r="G25" i="107"/>
  <c r="J25" i="107" s="1"/>
  <c r="I22" i="107"/>
  <c r="J22" i="107"/>
  <c r="G24" i="107"/>
  <c r="I24" i="107" s="1"/>
  <c r="I20" i="107"/>
  <c r="G23" i="107"/>
  <c r="J23" i="107" s="1"/>
  <c r="J29" i="107"/>
  <c r="J51" i="110" l="1"/>
  <c r="I51" i="110"/>
  <c r="H51" i="110" s="1"/>
  <c r="W51" i="110" s="1"/>
  <c r="V51" i="110"/>
  <c r="AB51" i="110" s="1"/>
  <c r="L51" i="110"/>
  <c r="L39" i="110"/>
  <c r="I39" i="110"/>
  <c r="J39" i="110"/>
  <c r="K39" i="110"/>
  <c r="V39" i="110"/>
  <c r="L42" i="107"/>
  <c r="K42" i="107"/>
  <c r="V42" i="107"/>
  <c r="J42" i="107"/>
  <c r="I42" i="107"/>
  <c r="H42" i="107" s="1"/>
  <c r="W42" i="107" s="1"/>
  <c r="AB42" i="107" s="1"/>
  <c r="J26" i="107"/>
  <c r="L26" i="107"/>
  <c r="I26" i="107"/>
  <c r="H26" i="107" s="1"/>
  <c r="N26" i="107" s="1"/>
  <c r="P26" i="107" s="1"/>
  <c r="Q26" i="107" s="1"/>
  <c r="R26" i="107" s="1"/>
  <c r="S26" i="107" s="1"/>
  <c r="D24" i="101" s="1"/>
  <c r="I57" i="107"/>
  <c r="J57" i="107"/>
  <c r="K57" i="107"/>
  <c r="L57" i="107"/>
  <c r="V57" i="107"/>
  <c r="K49" i="107"/>
  <c r="V49" i="107"/>
  <c r="I49" i="107"/>
  <c r="L49" i="107"/>
  <c r="J49" i="107"/>
  <c r="K47" i="107"/>
  <c r="V47" i="107"/>
  <c r="I47" i="107"/>
  <c r="J47" i="107"/>
  <c r="L47" i="107"/>
  <c r="V54" i="110"/>
  <c r="L54" i="110"/>
  <c r="I54" i="110"/>
  <c r="J54" i="110"/>
  <c r="V53" i="110"/>
  <c r="J53" i="110"/>
  <c r="L53" i="110"/>
  <c r="I53" i="110"/>
  <c r="H53" i="110" s="1"/>
  <c r="W53" i="110" s="1"/>
  <c r="J45" i="107"/>
  <c r="V45" i="107"/>
  <c r="L45" i="107"/>
  <c r="I45" i="107"/>
  <c r="H45" i="107" s="1"/>
  <c r="W45" i="107" s="1"/>
  <c r="AB45" i="107" s="1"/>
  <c r="K45" i="107"/>
  <c r="K34" i="107"/>
  <c r="J34" i="107"/>
  <c r="L34" i="107"/>
  <c r="I34" i="107"/>
  <c r="I30" i="107"/>
  <c r="H30" i="107" s="1"/>
  <c r="W30" i="107" s="1"/>
  <c r="AB30" i="107" s="1"/>
  <c r="N21" i="107"/>
  <c r="P21" i="107" s="1"/>
  <c r="Q21" i="107" s="1"/>
  <c r="R21" i="107" s="1"/>
  <c r="S21" i="107" s="1"/>
  <c r="AC21" i="107" s="1"/>
  <c r="AD21" i="107" s="1"/>
  <c r="AF21" i="107" s="1"/>
  <c r="V30" i="107"/>
  <c r="J50" i="107"/>
  <c r="L50" i="107"/>
  <c r="V50" i="107"/>
  <c r="I50" i="107"/>
  <c r="H50" i="107" s="1"/>
  <c r="W50" i="107" s="1"/>
  <c r="J42" i="110"/>
  <c r="L42" i="110"/>
  <c r="I42" i="110"/>
  <c r="H42" i="110" s="1"/>
  <c r="W42" i="110" s="1"/>
  <c r="V42" i="110"/>
  <c r="K42" i="110"/>
  <c r="I40" i="107"/>
  <c r="V40" i="107"/>
  <c r="K40" i="107"/>
  <c r="L40" i="107"/>
  <c r="J40" i="107"/>
  <c r="H40" i="107" s="1"/>
  <c r="W40" i="107" s="1"/>
  <c r="L26" i="110"/>
  <c r="I26" i="110"/>
  <c r="J26" i="110"/>
  <c r="H26" i="110" s="1"/>
  <c r="N26" i="110" s="1"/>
  <c r="P26" i="110" s="1"/>
  <c r="Q26" i="110" s="1"/>
  <c r="R26" i="110" s="1"/>
  <c r="S26" i="110" s="1"/>
  <c r="D24" i="111" s="1"/>
  <c r="H21" i="110"/>
  <c r="K48" i="107"/>
  <c r="I48" i="107"/>
  <c r="H48" i="107" s="1"/>
  <c r="W48" i="107" s="1"/>
  <c r="V48" i="107"/>
  <c r="L48" i="107"/>
  <c r="J48" i="107"/>
  <c r="V38" i="110"/>
  <c r="J38" i="110"/>
  <c r="L38" i="110"/>
  <c r="K38" i="110"/>
  <c r="I38" i="110"/>
  <c r="H38" i="110" s="1"/>
  <c r="W38" i="110" s="1"/>
  <c r="AB38" i="110" s="1"/>
  <c r="AB24" i="110"/>
  <c r="J22" i="110"/>
  <c r="L60" i="110"/>
  <c r="K60" i="110"/>
  <c r="V60" i="110"/>
  <c r="J60" i="110"/>
  <c r="I60" i="110"/>
  <c r="H60" i="110" s="1"/>
  <c r="W60" i="110" s="1"/>
  <c r="I36" i="110"/>
  <c r="K36" i="110"/>
  <c r="V36" i="110"/>
  <c r="J36" i="110"/>
  <c r="L36" i="110"/>
  <c r="K29" i="110"/>
  <c r="J59" i="110"/>
  <c r="V59" i="110"/>
  <c r="I59" i="110"/>
  <c r="L59" i="110"/>
  <c r="J54" i="107"/>
  <c r="I54" i="107"/>
  <c r="H54" i="107" s="1"/>
  <c r="W54" i="107" s="1"/>
  <c r="L54" i="107"/>
  <c r="V54" i="107"/>
  <c r="AB54" i="107" s="1"/>
  <c r="J44" i="110"/>
  <c r="V44" i="110"/>
  <c r="K44" i="110"/>
  <c r="I44" i="110"/>
  <c r="L44" i="110"/>
  <c r="V45" i="110"/>
  <c r="L45" i="110"/>
  <c r="J45" i="110"/>
  <c r="I45" i="110"/>
  <c r="H45" i="110" s="1"/>
  <c r="W45" i="110" s="1"/>
  <c r="AB45" i="110" s="1"/>
  <c r="K45" i="110"/>
  <c r="I33" i="110"/>
  <c r="J33" i="110"/>
  <c r="H33" i="110" s="1"/>
  <c r="W33" i="110" s="1"/>
  <c r="L33" i="110"/>
  <c r="N33" i="110" s="1"/>
  <c r="P33" i="110" s="1"/>
  <c r="Q33" i="110" s="1"/>
  <c r="R33" i="110" s="1"/>
  <c r="S33" i="110" s="1"/>
  <c r="V33" i="110"/>
  <c r="K33" i="110"/>
  <c r="J30" i="107"/>
  <c r="N25" i="110"/>
  <c r="P25" i="110" s="1"/>
  <c r="Q25" i="110" s="1"/>
  <c r="R25" i="110" s="1"/>
  <c r="S25" i="110" s="1"/>
  <c r="I30" i="110"/>
  <c r="H30" i="110" s="1"/>
  <c r="W30" i="110" s="1"/>
  <c r="AB30" i="110" s="1"/>
  <c r="V58" i="110"/>
  <c r="I58" i="110"/>
  <c r="J58" i="110"/>
  <c r="L58" i="110"/>
  <c r="L50" i="110"/>
  <c r="V50" i="110"/>
  <c r="J50" i="110"/>
  <c r="I50" i="110"/>
  <c r="V41" i="110"/>
  <c r="K41" i="110"/>
  <c r="L41" i="110"/>
  <c r="J41" i="110"/>
  <c r="I41" i="110"/>
  <c r="H41" i="110" s="1"/>
  <c r="W41" i="110" s="1"/>
  <c r="AB41" i="110" s="1"/>
  <c r="K39" i="107"/>
  <c r="V39" i="107"/>
  <c r="J39" i="107"/>
  <c r="L39" i="107"/>
  <c r="I39" i="107"/>
  <c r="H31" i="110"/>
  <c r="N23" i="110"/>
  <c r="P23" i="110" s="1"/>
  <c r="Q23" i="110" s="1"/>
  <c r="R23" i="110" s="1"/>
  <c r="S23" i="110" s="1"/>
  <c r="L48" i="110"/>
  <c r="I48" i="110"/>
  <c r="V48" i="110"/>
  <c r="K48" i="110"/>
  <c r="J48" i="110"/>
  <c r="J38" i="107"/>
  <c r="I38" i="107"/>
  <c r="H38" i="107" s="1"/>
  <c r="W38" i="107" s="1"/>
  <c r="AB38" i="107" s="1"/>
  <c r="L38" i="107"/>
  <c r="K38" i="107"/>
  <c r="V38" i="107"/>
  <c r="N38" i="107"/>
  <c r="P38" i="107" s="1"/>
  <c r="Q38" i="107" s="1"/>
  <c r="R38" i="107" s="1"/>
  <c r="S38" i="107" s="1"/>
  <c r="L22" i="110"/>
  <c r="I22" i="110"/>
  <c r="H22" i="110" s="1"/>
  <c r="L60" i="107"/>
  <c r="I60" i="107"/>
  <c r="H60" i="107" s="1"/>
  <c r="W60" i="107" s="1"/>
  <c r="AB60" i="107" s="1"/>
  <c r="J60" i="107"/>
  <c r="V60" i="107"/>
  <c r="K60" i="107"/>
  <c r="N60" i="107"/>
  <c r="P60" i="107" s="1"/>
  <c r="Q60" i="107" s="1"/>
  <c r="R60" i="107" s="1"/>
  <c r="S60" i="107" s="1"/>
  <c r="I36" i="107"/>
  <c r="L36" i="107"/>
  <c r="K36" i="107"/>
  <c r="V36" i="107"/>
  <c r="J36" i="107"/>
  <c r="J29" i="110"/>
  <c r="I29" i="110"/>
  <c r="I59" i="107"/>
  <c r="L59" i="107"/>
  <c r="V59" i="107"/>
  <c r="J59" i="107"/>
  <c r="I52" i="107"/>
  <c r="J52" i="107"/>
  <c r="H52" i="107" s="1"/>
  <c r="W52" i="107" s="1"/>
  <c r="AB52" i="107" s="1"/>
  <c r="V52" i="107"/>
  <c r="L52" i="107"/>
  <c r="I44" i="107"/>
  <c r="H44" i="107" s="1"/>
  <c r="W44" i="107" s="1"/>
  <c r="AB44" i="107" s="1"/>
  <c r="V44" i="107"/>
  <c r="J44" i="107"/>
  <c r="K44" i="107"/>
  <c r="L44" i="107"/>
  <c r="I46" i="110"/>
  <c r="J46" i="110"/>
  <c r="L46" i="110"/>
  <c r="K46" i="110"/>
  <c r="V46" i="110"/>
  <c r="K33" i="107"/>
  <c r="J33" i="107"/>
  <c r="V33" i="107"/>
  <c r="L33" i="107"/>
  <c r="I33" i="107"/>
  <c r="H33" i="107" s="1"/>
  <c r="W33" i="107" s="1"/>
  <c r="AB33" i="107" s="1"/>
  <c r="L30" i="107"/>
  <c r="J30" i="110"/>
  <c r="L58" i="107"/>
  <c r="J58" i="107"/>
  <c r="V58" i="107"/>
  <c r="I58" i="107"/>
  <c r="H58" i="107" s="1"/>
  <c r="W58" i="107" s="1"/>
  <c r="AB58" i="107" s="1"/>
  <c r="N58" i="107"/>
  <c r="P58" i="107" s="1"/>
  <c r="Q58" i="107" s="1"/>
  <c r="R58" i="107" s="1"/>
  <c r="S58" i="107" s="1"/>
  <c r="J51" i="107"/>
  <c r="I51" i="107"/>
  <c r="H51" i="107" s="1"/>
  <c r="W51" i="107" s="1"/>
  <c r="V51" i="107"/>
  <c r="AB51" i="107" s="1"/>
  <c r="L51" i="107"/>
  <c r="K40" i="110"/>
  <c r="J40" i="110"/>
  <c r="V40" i="110"/>
  <c r="I40" i="110"/>
  <c r="L40" i="110"/>
  <c r="K41" i="107"/>
  <c r="J41" i="107"/>
  <c r="L41" i="107"/>
  <c r="V41" i="107"/>
  <c r="I41" i="107"/>
  <c r="H41" i="107" s="1"/>
  <c r="W41" i="107" s="1"/>
  <c r="AB41" i="107" s="1"/>
  <c r="N18" i="110"/>
  <c r="P18" i="110" s="1"/>
  <c r="Q18" i="110" s="1"/>
  <c r="R18" i="110" s="1"/>
  <c r="S18" i="110" s="1"/>
  <c r="AB23" i="110"/>
  <c r="V57" i="110"/>
  <c r="I57" i="110"/>
  <c r="J57" i="110"/>
  <c r="K57" i="110"/>
  <c r="L57" i="110"/>
  <c r="K49" i="110"/>
  <c r="J49" i="110"/>
  <c r="L49" i="110"/>
  <c r="V49" i="110"/>
  <c r="I49" i="110"/>
  <c r="L24" i="110"/>
  <c r="N24" i="110" s="1"/>
  <c r="P24" i="110" s="1"/>
  <c r="Q24" i="110" s="1"/>
  <c r="R24" i="110" s="1"/>
  <c r="S24" i="110" s="1"/>
  <c r="L47" i="110"/>
  <c r="V47" i="110"/>
  <c r="J47" i="110"/>
  <c r="K47" i="110"/>
  <c r="I47" i="110"/>
  <c r="I20" i="110"/>
  <c r="H20" i="110" s="1"/>
  <c r="W20" i="110" s="1"/>
  <c r="AB20" i="110" s="1"/>
  <c r="L28" i="110"/>
  <c r="V28" i="110"/>
  <c r="K28" i="110"/>
  <c r="I28" i="110"/>
  <c r="J28" i="110"/>
  <c r="J53" i="107"/>
  <c r="I53" i="107"/>
  <c r="H53" i="107" s="1"/>
  <c r="W53" i="107" s="1"/>
  <c r="V53" i="107"/>
  <c r="L53" i="107"/>
  <c r="V52" i="110"/>
  <c r="J52" i="110"/>
  <c r="L52" i="110"/>
  <c r="I52" i="110"/>
  <c r="H52" i="110" s="1"/>
  <c r="W52" i="110" s="1"/>
  <c r="AB52" i="110" s="1"/>
  <c r="K46" i="107"/>
  <c r="L46" i="107"/>
  <c r="I46" i="107"/>
  <c r="H46" i="107" s="1"/>
  <c r="W46" i="107" s="1"/>
  <c r="V46" i="107"/>
  <c r="J46" i="107"/>
  <c r="L34" i="110"/>
  <c r="I34" i="110"/>
  <c r="J34" i="110"/>
  <c r="K34" i="110"/>
  <c r="V23" i="107"/>
  <c r="V24" i="107"/>
  <c r="V25" i="107"/>
  <c r="N28" i="107"/>
  <c r="N18" i="107"/>
  <c r="P18" i="107" s="1"/>
  <c r="H29" i="107"/>
  <c r="W29" i="107" s="1"/>
  <c r="AB29" i="107" s="1"/>
  <c r="H31" i="107"/>
  <c r="W31" i="107" s="1"/>
  <c r="AB31" i="107" s="1"/>
  <c r="P28" i="107"/>
  <c r="Q28" i="107" s="1"/>
  <c r="R28" i="107" s="1"/>
  <c r="S28" i="107" s="1"/>
  <c r="AC28" i="107" s="1"/>
  <c r="AD28" i="107" s="1"/>
  <c r="AF28" i="107" s="1"/>
  <c r="J24" i="107"/>
  <c r="H24" i="107" s="1"/>
  <c r="W24" i="107" s="1"/>
  <c r="H20" i="107"/>
  <c r="W20" i="107" s="1"/>
  <c r="AB20" i="107" s="1"/>
  <c r="L25" i="107"/>
  <c r="I23" i="107"/>
  <c r="H23" i="107" s="1"/>
  <c r="W23" i="107" s="1"/>
  <c r="L23" i="107"/>
  <c r="L24" i="107"/>
  <c r="I25" i="107"/>
  <c r="H22" i="107"/>
  <c r="W22" i="107" s="1"/>
  <c r="AB22" i="107" s="1"/>
  <c r="D31" i="111" l="1"/>
  <c r="F24" i="101"/>
  <c r="G24" i="101"/>
  <c r="E24" i="101"/>
  <c r="D22" i="111"/>
  <c r="AC24" i="110"/>
  <c r="AD24" i="110" s="1"/>
  <c r="AF24" i="110" s="1"/>
  <c r="AC58" i="107"/>
  <c r="AD58" i="107" s="1"/>
  <c r="AF58" i="107" s="1"/>
  <c r="D56" i="101"/>
  <c r="AC60" i="107"/>
  <c r="AD60" i="107" s="1"/>
  <c r="AF60" i="107" s="1"/>
  <c r="D58" i="101"/>
  <c r="AC38" i="107"/>
  <c r="AD38" i="107" s="1"/>
  <c r="AF38" i="107" s="1"/>
  <c r="D36" i="101"/>
  <c r="D21" i="111"/>
  <c r="AC23" i="110"/>
  <c r="AD23" i="110" s="1"/>
  <c r="AF23" i="110" s="1"/>
  <c r="N41" i="110"/>
  <c r="P41" i="110" s="1"/>
  <c r="Q41" i="110" s="1"/>
  <c r="R41" i="110" s="1"/>
  <c r="S41" i="110" s="1"/>
  <c r="N60" i="110"/>
  <c r="P60" i="110" s="1"/>
  <c r="Q60" i="110" s="1"/>
  <c r="R60" i="110" s="1"/>
  <c r="S60" i="110" s="1"/>
  <c r="N38" i="110"/>
  <c r="P38" i="110" s="1"/>
  <c r="Q38" i="110" s="1"/>
  <c r="R38" i="110" s="1"/>
  <c r="S38" i="110" s="1"/>
  <c r="E24" i="111"/>
  <c r="F24" i="111"/>
  <c r="G24" i="111"/>
  <c r="AB53" i="110"/>
  <c r="AB46" i="107"/>
  <c r="N53" i="107"/>
  <c r="N20" i="110"/>
  <c r="P20" i="110" s="1"/>
  <c r="Q20" i="110" s="1"/>
  <c r="H49" i="110"/>
  <c r="N52" i="107"/>
  <c r="P52" i="107" s="1"/>
  <c r="Q52" i="107" s="1"/>
  <c r="R52" i="107" s="1"/>
  <c r="S52" i="107" s="1"/>
  <c r="W31" i="110"/>
  <c r="AB31" i="110" s="1"/>
  <c r="N31" i="110"/>
  <c r="P31" i="110" s="1"/>
  <c r="Q31" i="110" s="1"/>
  <c r="R31" i="110" s="1"/>
  <c r="S31" i="110" s="1"/>
  <c r="N30" i="110"/>
  <c r="P30" i="110" s="1"/>
  <c r="Q30" i="110" s="1"/>
  <c r="R30" i="110" s="1"/>
  <c r="S30" i="110" s="1"/>
  <c r="AB48" i="107"/>
  <c r="AB50" i="107"/>
  <c r="H47" i="107"/>
  <c r="H57" i="107"/>
  <c r="H39" i="110"/>
  <c r="N46" i="107"/>
  <c r="P46" i="107" s="1"/>
  <c r="Q46" i="107" s="1"/>
  <c r="R46" i="107" s="1"/>
  <c r="S46" i="107" s="1"/>
  <c r="D17" i="111"/>
  <c r="AC18" i="110"/>
  <c r="AD18" i="110" s="1"/>
  <c r="AF18" i="110" s="1"/>
  <c r="H46" i="110"/>
  <c r="W22" i="110"/>
  <c r="AB22" i="110" s="1"/>
  <c r="N22" i="110"/>
  <c r="P22" i="110" s="1"/>
  <c r="Q22" i="110" s="1"/>
  <c r="R22" i="110" s="1"/>
  <c r="S22" i="110" s="1"/>
  <c r="H50" i="110"/>
  <c r="H58" i="110"/>
  <c r="D23" i="111"/>
  <c r="AC25" i="110"/>
  <c r="AD25" i="110" s="1"/>
  <c r="AF25" i="110" s="1"/>
  <c r="N45" i="110"/>
  <c r="P45" i="110" s="1"/>
  <c r="Q45" i="110" s="1"/>
  <c r="R45" i="110" s="1"/>
  <c r="S45" i="110" s="1"/>
  <c r="H59" i="110"/>
  <c r="AB60" i="110"/>
  <c r="AB42" i="110"/>
  <c r="H34" i="107"/>
  <c r="N34" i="107" s="1"/>
  <c r="P34" i="107" s="1"/>
  <c r="Q34" i="107" s="1"/>
  <c r="R34" i="107" s="1"/>
  <c r="S34" i="107" s="1"/>
  <c r="D32" i="101" s="1"/>
  <c r="N45" i="107"/>
  <c r="P45" i="107" s="1"/>
  <c r="Q45" i="107" s="1"/>
  <c r="R45" i="107" s="1"/>
  <c r="S45" i="107" s="1"/>
  <c r="N53" i="110"/>
  <c r="P53" i="110" s="1"/>
  <c r="Q53" i="110" s="1"/>
  <c r="R53" i="110" s="1"/>
  <c r="S53" i="110" s="1"/>
  <c r="H49" i="107"/>
  <c r="H34" i="110"/>
  <c r="N34" i="110" s="1"/>
  <c r="P34" i="110" s="1"/>
  <c r="Q34" i="110" s="1"/>
  <c r="R34" i="110" s="1"/>
  <c r="S34" i="110" s="1"/>
  <c r="D32" i="111" s="1"/>
  <c r="N52" i="110"/>
  <c r="P52" i="110" s="1"/>
  <c r="Q52" i="110" s="1"/>
  <c r="R52" i="110" s="1"/>
  <c r="S52" i="110" s="1"/>
  <c r="AB53" i="107"/>
  <c r="H28" i="110"/>
  <c r="H47" i="110"/>
  <c r="H57" i="110"/>
  <c r="N41" i="107"/>
  <c r="P41" i="107" s="1"/>
  <c r="Q41" i="107" s="1"/>
  <c r="R41" i="107" s="1"/>
  <c r="S41" i="107" s="1"/>
  <c r="H40" i="110"/>
  <c r="N51" i="107"/>
  <c r="P51" i="107" s="1"/>
  <c r="Q51" i="107" s="1"/>
  <c r="R51" i="107" s="1"/>
  <c r="S51" i="107" s="1"/>
  <c r="N33" i="107"/>
  <c r="P33" i="107" s="1"/>
  <c r="Q33" i="107" s="1"/>
  <c r="R33" i="107" s="1"/>
  <c r="S33" i="107" s="1"/>
  <c r="N44" i="107"/>
  <c r="H59" i="107"/>
  <c r="H29" i="110"/>
  <c r="H36" i="107"/>
  <c r="H48" i="110"/>
  <c r="H39" i="107"/>
  <c r="N48" i="107"/>
  <c r="P48" i="107" s="1"/>
  <c r="Q48" i="107" s="1"/>
  <c r="R48" i="107" s="1"/>
  <c r="S48" i="107" s="1"/>
  <c r="AB33" i="110"/>
  <c r="AC33" i="110" s="1"/>
  <c r="AD33" i="110" s="1"/>
  <c r="AF33" i="110" s="1"/>
  <c r="H44" i="110"/>
  <c r="N54" i="107"/>
  <c r="P54" i="107" s="1"/>
  <c r="Q54" i="107" s="1"/>
  <c r="R54" i="107" s="1"/>
  <c r="S54" i="107" s="1"/>
  <c r="H36" i="110"/>
  <c r="W21" i="110"/>
  <c r="AB21" i="110" s="1"/>
  <c r="N21" i="110"/>
  <c r="P21" i="110" s="1"/>
  <c r="Q21" i="110" s="1"/>
  <c r="R21" i="110" s="1"/>
  <c r="S21" i="110" s="1"/>
  <c r="AC21" i="110" s="1"/>
  <c r="AD21" i="110" s="1"/>
  <c r="AF21" i="110" s="1"/>
  <c r="N40" i="107"/>
  <c r="AB40" i="107"/>
  <c r="N42" i="110"/>
  <c r="P42" i="110" s="1"/>
  <c r="Q42" i="110" s="1"/>
  <c r="R42" i="110" s="1"/>
  <c r="S42" i="110" s="1"/>
  <c r="N50" i="107"/>
  <c r="P50" i="107" s="1"/>
  <c r="Q50" i="107" s="1"/>
  <c r="R50" i="107" s="1"/>
  <c r="S50" i="107" s="1"/>
  <c r="H54" i="110"/>
  <c r="N42" i="107"/>
  <c r="P42" i="107" s="1"/>
  <c r="Q42" i="107" s="1"/>
  <c r="R42" i="107" s="1"/>
  <c r="S42" i="107" s="1"/>
  <c r="N51" i="110"/>
  <c r="P51" i="110" s="1"/>
  <c r="Q51" i="110" s="1"/>
  <c r="N29" i="107"/>
  <c r="AB24" i="107"/>
  <c r="AB23" i="107"/>
  <c r="Q18" i="107"/>
  <c r="R18" i="107" s="1"/>
  <c r="S18" i="107" s="1"/>
  <c r="N31" i="107"/>
  <c r="N20" i="107"/>
  <c r="N30" i="107"/>
  <c r="P30" i="107" s="1"/>
  <c r="Q30" i="107" s="1"/>
  <c r="R30" i="107" s="1"/>
  <c r="S30" i="107" s="1"/>
  <c r="AC30" i="107" s="1"/>
  <c r="AD30" i="107" s="1"/>
  <c r="AF30" i="107" s="1"/>
  <c r="N22" i="107"/>
  <c r="P22" i="107" s="1"/>
  <c r="Q22" i="107" s="1"/>
  <c r="R22" i="107" s="1"/>
  <c r="S22" i="107" s="1"/>
  <c r="AC22" i="107" s="1"/>
  <c r="AD22" i="107" s="1"/>
  <c r="AF22" i="107" s="1"/>
  <c r="N24" i="107"/>
  <c r="P24" i="107" s="1"/>
  <c r="Q24" i="107" s="1"/>
  <c r="R24" i="107" s="1"/>
  <c r="S24" i="107" s="1"/>
  <c r="D26" i="101"/>
  <c r="P29" i="107"/>
  <c r="Q29" i="107" s="1"/>
  <c r="R29" i="107" s="1"/>
  <c r="S29" i="107" s="1"/>
  <c r="AC29" i="107" s="1"/>
  <c r="AD29" i="107" s="1"/>
  <c r="AF29" i="107" s="1"/>
  <c r="P31" i="107"/>
  <c r="Q31" i="107" s="1"/>
  <c r="R31" i="107" s="1"/>
  <c r="S31" i="107" s="1"/>
  <c r="AC31" i="107" s="1"/>
  <c r="AD31" i="107" s="1"/>
  <c r="AF31" i="107" s="1"/>
  <c r="H25" i="107"/>
  <c r="W25" i="107" s="1"/>
  <c r="AB25" i="107" s="1"/>
  <c r="N23" i="107"/>
  <c r="AC50" i="107" l="1"/>
  <c r="AD50" i="107" s="1"/>
  <c r="AF50" i="107" s="1"/>
  <c r="D48" i="101"/>
  <c r="W44" i="110"/>
  <c r="AB44" i="110" s="1"/>
  <c r="N44" i="110"/>
  <c r="P44" i="110" s="1"/>
  <c r="Q44" i="110" s="1"/>
  <c r="R44" i="110" s="1"/>
  <c r="S44" i="110" s="1"/>
  <c r="W48" i="110"/>
  <c r="AB48" i="110" s="1"/>
  <c r="N48" i="110"/>
  <c r="P48" i="110" s="1"/>
  <c r="Q48" i="110" s="1"/>
  <c r="R48" i="110" s="1"/>
  <c r="S48" i="110" s="1"/>
  <c r="P44" i="107"/>
  <c r="Q44" i="107"/>
  <c r="R44" i="107" s="1"/>
  <c r="S44" i="107" s="1"/>
  <c r="D20" i="111"/>
  <c r="AC22" i="110"/>
  <c r="AD22" i="110" s="1"/>
  <c r="AF22" i="110" s="1"/>
  <c r="D28" i="111"/>
  <c r="AC30" i="110"/>
  <c r="AD30" i="110" s="1"/>
  <c r="AF30" i="110" s="1"/>
  <c r="R51" i="110"/>
  <c r="S51" i="110" s="1"/>
  <c r="D50" i="111"/>
  <c r="AC52" i="110"/>
  <c r="AD52" i="110" s="1"/>
  <c r="AF52" i="110" s="1"/>
  <c r="G23" i="111"/>
  <c r="E23" i="111"/>
  <c r="F23" i="111"/>
  <c r="W47" i="107"/>
  <c r="AB47" i="107" s="1"/>
  <c r="N47" i="107"/>
  <c r="P47" i="107" s="1"/>
  <c r="Q47" i="107" s="1"/>
  <c r="R47" i="107" s="1"/>
  <c r="S47" i="107" s="1"/>
  <c r="W49" i="110"/>
  <c r="AB49" i="110" s="1"/>
  <c r="N49" i="110"/>
  <c r="P49" i="110" s="1"/>
  <c r="Q49" i="110" s="1"/>
  <c r="R49" i="110" s="1"/>
  <c r="S49" i="110" s="1"/>
  <c r="F22" i="111"/>
  <c r="G22" i="111"/>
  <c r="E22" i="111"/>
  <c r="AC41" i="107"/>
  <c r="AD41" i="107" s="1"/>
  <c r="AF41" i="107" s="1"/>
  <c r="D39" i="101"/>
  <c r="W49" i="107"/>
  <c r="AB49" i="107" s="1"/>
  <c r="N49" i="107"/>
  <c r="G17" i="111"/>
  <c r="F17" i="111"/>
  <c r="E17" i="111"/>
  <c r="W57" i="107"/>
  <c r="AB57" i="107" s="1"/>
  <c r="N57" i="107"/>
  <c r="P57" i="107" s="1"/>
  <c r="Q57" i="107" s="1"/>
  <c r="R57" i="107" s="1"/>
  <c r="S57" i="107" s="1"/>
  <c r="D40" i="111"/>
  <c r="AC42" i="110"/>
  <c r="AD42" i="110" s="1"/>
  <c r="AF42" i="110" s="1"/>
  <c r="W36" i="107"/>
  <c r="AB36" i="107" s="1"/>
  <c r="N36" i="107"/>
  <c r="P36" i="107" s="1"/>
  <c r="Q36" i="107" s="1"/>
  <c r="R36" i="107" s="1"/>
  <c r="S36" i="107" s="1"/>
  <c r="AC33" i="107"/>
  <c r="AD33" i="107" s="1"/>
  <c r="AF33" i="107" s="1"/>
  <c r="S35" i="107"/>
  <c r="D31" i="101"/>
  <c r="W57" i="110"/>
  <c r="AB57" i="110" s="1"/>
  <c r="N57" i="110"/>
  <c r="P57" i="110" s="1"/>
  <c r="Q57" i="110" s="1"/>
  <c r="R57" i="110" s="1"/>
  <c r="S57" i="110" s="1"/>
  <c r="D51" i="111"/>
  <c r="AC53" i="110"/>
  <c r="AD53" i="110" s="1"/>
  <c r="AF53" i="110" s="1"/>
  <c r="D29" i="111"/>
  <c r="AC31" i="110"/>
  <c r="AD31" i="110" s="1"/>
  <c r="AF31" i="110" s="1"/>
  <c r="W29" i="110"/>
  <c r="AB29" i="110" s="1"/>
  <c r="N29" i="110"/>
  <c r="P29" i="110" s="1"/>
  <c r="Q29" i="110" s="1"/>
  <c r="R29" i="110" s="1"/>
  <c r="S29" i="110" s="1"/>
  <c r="F32" i="111"/>
  <c r="E32" i="111"/>
  <c r="G32" i="111"/>
  <c r="W59" i="110"/>
  <c r="AB59" i="110" s="1"/>
  <c r="N59" i="110"/>
  <c r="P59" i="110" s="1"/>
  <c r="Q59" i="110" s="1"/>
  <c r="R59" i="110" s="1"/>
  <c r="S59" i="110" s="1"/>
  <c r="W46" i="110"/>
  <c r="AB46" i="110" s="1"/>
  <c r="N46" i="110"/>
  <c r="P46" i="110" s="1"/>
  <c r="Q46" i="110" s="1"/>
  <c r="R46" i="110" s="1"/>
  <c r="S46" i="110" s="1"/>
  <c r="E36" i="101"/>
  <c r="F36" i="101"/>
  <c r="G36" i="101"/>
  <c r="D36" i="111"/>
  <c r="AC38" i="110"/>
  <c r="AD38" i="110" s="1"/>
  <c r="AF38" i="110" s="1"/>
  <c r="F21" i="111"/>
  <c r="G21" i="111"/>
  <c r="E21" i="111"/>
  <c r="G58" i="101"/>
  <c r="E58" i="101"/>
  <c r="F58" i="101"/>
  <c r="E56" i="101"/>
  <c r="G56" i="101"/>
  <c r="F56" i="101"/>
  <c r="AC42" i="107"/>
  <c r="AD42" i="107" s="1"/>
  <c r="AF42" i="107" s="1"/>
  <c r="D40" i="101"/>
  <c r="W36" i="110"/>
  <c r="AB36" i="110" s="1"/>
  <c r="N36" i="110"/>
  <c r="P36" i="110" s="1"/>
  <c r="Q36" i="110" s="1"/>
  <c r="R36" i="110" s="1"/>
  <c r="S36" i="110" s="1"/>
  <c r="AC48" i="107"/>
  <c r="AD48" i="107" s="1"/>
  <c r="AF48" i="107" s="1"/>
  <c r="D46" i="101"/>
  <c r="AC51" i="107"/>
  <c r="AD51" i="107" s="1"/>
  <c r="AF51" i="107" s="1"/>
  <c r="D49" i="101"/>
  <c r="W47" i="110"/>
  <c r="AB47" i="110" s="1"/>
  <c r="N47" i="110"/>
  <c r="P47" i="110" s="1"/>
  <c r="Q47" i="110" s="1"/>
  <c r="R47" i="110" s="1"/>
  <c r="S47" i="110" s="1"/>
  <c r="AC45" i="107"/>
  <c r="AD45" i="107" s="1"/>
  <c r="AF45" i="107" s="1"/>
  <c r="D43" i="101"/>
  <c r="W58" i="110"/>
  <c r="AB58" i="110" s="1"/>
  <c r="N58" i="110"/>
  <c r="P58" i="110" s="1"/>
  <c r="Q58" i="110" s="1"/>
  <c r="R58" i="110" s="1"/>
  <c r="S58" i="110" s="1"/>
  <c r="AC46" i="107"/>
  <c r="AD46" i="107" s="1"/>
  <c r="AF46" i="107" s="1"/>
  <c r="D44" i="101"/>
  <c r="R20" i="110"/>
  <c r="S20" i="110" s="1"/>
  <c r="D58" i="111"/>
  <c r="AC60" i="110"/>
  <c r="AD60" i="110" s="1"/>
  <c r="AF60" i="110" s="1"/>
  <c r="S35" i="110"/>
  <c r="W54" i="110"/>
  <c r="AB54" i="110" s="1"/>
  <c r="N54" i="110"/>
  <c r="P54" i="110" s="1"/>
  <c r="Q54" i="110" s="1"/>
  <c r="R54" i="110" s="1"/>
  <c r="S54" i="110" s="1"/>
  <c r="P40" i="107"/>
  <c r="Q40" i="107" s="1"/>
  <c r="R40" i="107" s="1"/>
  <c r="S40" i="107" s="1"/>
  <c r="AC54" i="107"/>
  <c r="AD54" i="107" s="1"/>
  <c r="AF54" i="107" s="1"/>
  <c r="D52" i="101"/>
  <c r="W39" i="107"/>
  <c r="AB39" i="107" s="1"/>
  <c r="N39" i="107"/>
  <c r="P39" i="107" s="1"/>
  <c r="Q39" i="107" s="1"/>
  <c r="R39" i="107" s="1"/>
  <c r="S39" i="107" s="1"/>
  <c r="W59" i="107"/>
  <c r="AB59" i="107" s="1"/>
  <c r="N59" i="107"/>
  <c r="W40" i="110"/>
  <c r="AB40" i="110" s="1"/>
  <c r="N40" i="110"/>
  <c r="P40" i="110" s="1"/>
  <c r="Q40" i="110" s="1"/>
  <c r="R40" i="110" s="1"/>
  <c r="S40" i="110" s="1"/>
  <c r="W28" i="110"/>
  <c r="AB28" i="110" s="1"/>
  <c r="N28" i="110"/>
  <c r="P28" i="110" s="1"/>
  <c r="Q28" i="110" s="1"/>
  <c r="R28" i="110" s="1"/>
  <c r="S28" i="110" s="1"/>
  <c r="E32" i="101"/>
  <c r="F32" i="101"/>
  <c r="G32" i="101"/>
  <c r="D43" i="111"/>
  <c r="AC45" i="110"/>
  <c r="AD45" i="110" s="1"/>
  <c r="AF45" i="110" s="1"/>
  <c r="W50" i="110"/>
  <c r="AB50" i="110" s="1"/>
  <c r="N50" i="110"/>
  <c r="P50" i="110" s="1"/>
  <c r="Q50" i="110" s="1"/>
  <c r="R50" i="110" s="1"/>
  <c r="S50" i="110" s="1"/>
  <c r="W39" i="110"/>
  <c r="AB39" i="110" s="1"/>
  <c r="N39" i="110"/>
  <c r="P39" i="110" s="1"/>
  <c r="Q39" i="110" s="1"/>
  <c r="R39" i="110" s="1"/>
  <c r="S39" i="110" s="1"/>
  <c r="S43" i="110" s="1"/>
  <c r="AC52" i="107"/>
  <c r="AD52" i="107" s="1"/>
  <c r="AF52" i="107" s="1"/>
  <c r="D50" i="101"/>
  <c r="P53" i="107"/>
  <c r="Q53" i="107"/>
  <c r="R53" i="107" s="1"/>
  <c r="S53" i="107" s="1"/>
  <c r="D39" i="111"/>
  <c r="AC41" i="110"/>
  <c r="AD41" i="110" s="1"/>
  <c r="AF41" i="110" s="1"/>
  <c r="G31" i="111"/>
  <c r="F31" i="111"/>
  <c r="E31" i="111"/>
  <c r="AC24" i="107"/>
  <c r="AD24" i="107" s="1"/>
  <c r="AF24" i="107" s="1"/>
  <c r="D17" i="101"/>
  <c r="AC18" i="107"/>
  <c r="AD18" i="107" s="1"/>
  <c r="AF18" i="107" s="1"/>
  <c r="P20" i="107"/>
  <c r="Q20" i="107" s="1"/>
  <c r="R20" i="107" s="1"/>
  <c r="N25" i="107"/>
  <c r="P25" i="107" s="1"/>
  <c r="Q25" i="107" s="1"/>
  <c r="R25" i="107" s="1"/>
  <c r="S25" i="107" s="1"/>
  <c r="AC25" i="107" s="1"/>
  <c r="AD25" i="107" s="1"/>
  <c r="AF25" i="107" s="1"/>
  <c r="G26" i="101"/>
  <c r="F26" i="101"/>
  <c r="E26" i="101"/>
  <c r="D22" i="101"/>
  <c r="D20" i="101"/>
  <c r="D29" i="101"/>
  <c r="S32" i="107"/>
  <c r="D27" i="101"/>
  <c r="D28" i="101"/>
  <c r="P23" i="107"/>
  <c r="Q23" i="107" s="1"/>
  <c r="R23" i="107" s="1"/>
  <c r="D19" i="111" l="1"/>
  <c r="AC20" i="110"/>
  <c r="AD20" i="110"/>
  <c r="AF20" i="110" s="1"/>
  <c r="S27" i="110"/>
  <c r="AC40" i="107"/>
  <c r="AD40" i="107" s="1"/>
  <c r="AF40" i="107" s="1"/>
  <c r="D38" i="101"/>
  <c r="D49" i="111"/>
  <c r="AC51" i="110"/>
  <c r="AD51" i="110" s="1"/>
  <c r="AF51" i="110" s="1"/>
  <c r="AC53" i="107"/>
  <c r="AD53" i="107" s="1"/>
  <c r="AF53" i="107" s="1"/>
  <c r="D51" i="101"/>
  <c r="E44" i="101"/>
  <c r="F44" i="101"/>
  <c r="G44" i="101"/>
  <c r="F43" i="101"/>
  <c r="G43" i="101"/>
  <c r="E43" i="101"/>
  <c r="E49" i="101"/>
  <c r="F49" i="101"/>
  <c r="G49" i="101"/>
  <c r="G29" i="111"/>
  <c r="F29" i="111"/>
  <c r="E29" i="111"/>
  <c r="AC36" i="107"/>
  <c r="AD36" i="107" s="1"/>
  <c r="AF36" i="107" s="1"/>
  <c r="D34" i="101"/>
  <c r="S37" i="107"/>
  <c r="D47" i="111"/>
  <c r="AC49" i="110"/>
  <c r="AD49" i="110" s="1"/>
  <c r="AF49" i="110" s="1"/>
  <c r="G50" i="111"/>
  <c r="E50" i="111"/>
  <c r="F50" i="111"/>
  <c r="E28" i="111"/>
  <c r="F28" i="111"/>
  <c r="G28" i="111"/>
  <c r="G50" i="101"/>
  <c r="E50" i="101"/>
  <c r="F50" i="101"/>
  <c r="D48" i="111"/>
  <c r="AC50" i="110"/>
  <c r="AD50" i="110" s="1"/>
  <c r="AF50" i="110" s="1"/>
  <c r="D56" i="111"/>
  <c r="AC58" i="110"/>
  <c r="AD58" i="110" s="1"/>
  <c r="AF58" i="110" s="1"/>
  <c r="D45" i="111"/>
  <c r="AC47" i="110"/>
  <c r="AD47" i="110" s="1"/>
  <c r="AF47" i="110" s="1"/>
  <c r="E46" i="101"/>
  <c r="G46" i="101"/>
  <c r="F46" i="101"/>
  <c r="E40" i="101"/>
  <c r="F40" i="101"/>
  <c r="G40" i="101"/>
  <c r="D27" i="111"/>
  <c r="AC29" i="110"/>
  <c r="AD29" i="110" s="1"/>
  <c r="AF29" i="110" s="1"/>
  <c r="F31" i="101"/>
  <c r="E31" i="101"/>
  <c r="G31" i="101"/>
  <c r="P49" i="107"/>
  <c r="Q49" i="107"/>
  <c r="R49" i="107" s="1"/>
  <c r="S49" i="107" s="1"/>
  <c r="D46" i="111"/>
  <c r="AC48" i="110"/>
  <c r="AD48" i="110" s="1"/>
  <c r="AF48" i="110" s="1"/>
  <c r="E48" i="101"/>
  <c r="F48" i="101"/>
  <c r="G48" i="101"/>
  <c r="D37" i="111"/>
  <c r="AC39" i="110"/>
  <c r="AD39" i="110" s="1"/>
  <c r="AF39" i="110" s="1"/>
  <c r="D34" i="111"/>
  <c r="AC36" i="110"/>
  <c r="AD36" i="110" s="1"/>
  <c r="AF36" i="110" s="1"/>
  <c r="S37" i="110"/>
  <c r="D55" i="111"/>
  <c r="AC57" i="110"/>
  <c r="AD57" i="110" s="1"/>
  <c r="AF57" i="110" s="1"/>
  <c r="S61" i="110"/>
  <c r="F40" i="111"/>
  <c r="G40" i="111"/>
  <c r="E40" i="111"/>
  <c r="F39" i="101"/>
  <c r="G39" i="101"/>
  <c r="E39" i="101"/>
  <c r="AC44" i="107"/>
  <c r="AD44" i="107" s="1"/>
  <c r="AF44" i="107" s="1"/>
  <c r="D42" i="101"/>
  <c r="S55" i="107"/>
  <c r="D42" i="111"/>
  <c r="AC44" i="110"/>
  <c r="AD44" i="110" s="1"/>
  <c r="AF44" i="110" s="1"/>
  <c r="S55" i="110"/>
  <c r="E43" i="111"/>
  <c r="G43" i="111"/>
  <c r="F43" i="111"/>
  <c r="D26" i="111"/>
  <c r="AC28" i="110"/>
  <c r="AD28" i="110" s="1"/>
  <c r="AF28" i="110" s="1"/>
  <c r="S32" i="110"/>
  <c r="P59" i="107"/>
  <c r="Q59" i="107"/>
  <c r="R59" i="107" s="1"/>
  <c r="S59" i="107" s="1"/>
  <c r="E52" i="101"/>
  <c r="F52" i="101"/>
  <c r="G52" i="101"/>
  <c r="D52" i="111"/>
  <c r="AC54" i="110"/>
  <c r="AD54" i="110" s="1"/>
  <c r="AF54" i="110" s="1"/>
  <c r="G58" i="111"/>
  <c r="E58" i="111"/>
  <c r="F58" i="111"/>
  <c r="D57" i="111"/>
  <c r="AC59" i="110"/>
  <c r="AD59" i="110" s="1"/>
  <c r="AF59" i="110" s="1"/>
  <c r="AC57" i="107"/>
  <c r="AD57" i="107" s="1"/>
  <c r="AF57" i="107" s="1"/>
  <c r="D55" i="101"/>
  <c r="E39" i="111"/>
  <c r="F39" i="111"/>
  <c r="G39" i="111"/>
  <c r="D38" i="111"/>
  <c r="AC40" i="110"/>
  <c r="AD40" i="110" s="1"/>
  <c r="AF40" i="110" s="1"/>
  <c r="AC39" i="107"/>
  <c r="AD39" i="107" s="1"/>
  <c r="AF39" i="107" s="1"/>
  <c r="D37" i="101"/>
  <c r="S43" i="107"/>
  <c r="F36" i="111"/>
  <c r="G36" i="111"/>
  <c r="E36" i="111"/>
  <c r="D44" i="111"/>
  <c r="AC46" i="110"/>
  <c r="AD46" i="110" s="1"/>
  <c r="AF46" i="110" s="1"/>
  <c r="F51" i="111"/>
  <c r="G51" i="111"/>
  <c r="E51" i="111"/>
  <c r="AC47" i="107"/>
  <c r="AD47" i="107" s="1"/>
  <c r="AF47" i="107" s="1"/>
  <c r="D45" i="101"/>
  <c r="G20" i="111"/>
  <c r="F20" i="111"/>
  <c r="E20" i="111"/>
  <c r="G17" i="101"/>
  <c r="E17" i="101"/>
  <c r="F17" i="101"/>
  <c r="S20" i="107"/>
  <c r="S23" i="107"/>
  <c r="AC23" i="107" s="1"/>
  <c r="AD23" i="107" s="1"/>
  <c r="AF23" i="107" s="1"/>
  <c r="F29" i="101"/>
  <c r="E29" i="101"/>
  <c r="G29" i="101"/>
  <c r="E28" i="101"/>
  <c r="F28" i="101"/>
  <c r="G28" i="101"/>
  <c r="F20" i="101"/>
  <c r="G20" i="101"/>
  <c r="E20" i="101"/>
  <c r="F27" i="101"/>
  <c r="E27" i="101"/>
  <c r="G27" i="101"/>
  <c r="F22" i="101"/>
  <c r="E22" i="101"/>
  <c r="G22" i="101"/>
  <c r="D23" i="101"/>
  <c r="G37" i="101" l="1"/>
  <c r="F37" i="101"/>
  <c r="E37" i="101"/>
  <c r="E55" i="101"/>
  <c r="G55" i="101"/>
  <c r="F55" i="101"/>
  <c r="G52" i="111"/>
  <c r="F52" i="111"/>
  <c r="E52" i="111"/>
  <c r="AC59" i="107"/>
  <c r="AD59" i="107" s="1"/>
  <c r="AF59" i="107" s="1"/>
  <c r="D57" i="101"/>
  <c r="F37" i="111"/>
  <c r="G37" i="111"/>
  <c r="E37" i="111"/>
  <c r="G27" i="111"/>
  <c r="F27" i="111"/>
  <c r="E27" i="111"/>
  <c r="G45" i="111"/>
  <c r="E45" i="111"/>
  <c r="F45" i="111"/>
  <c r="F48" i="111"/>
  <c r="E48" i="111"/>
  <c r="G48" i="111"/>
  <c r="F45" i="101"/>
  <c r="E45" i="101"/>
  <c r="G45" i="101"/>
  <c r="G26" i="111"/>
  <c r="E26" i="111"/>
  <c r="F26" i="111"/>
  <c r="F42" i="101"/>
  <c r="G42" i="101"/>
  <c r="E42" i="101"/>
  <c r="F46" i="111"/>
  <c r="G46" i="111"/>
  <c r="E46" i="111"/>
  <c r="F34" i="101"/>
  <c r="G34" i="101"/>
  <c r="E34" i="101"/>
  <c r="E34" i="111"/>
  <c r="G34" i="111"/>
  <c r="F34" i="111"/>
  <c r="AC49" i="107"/>
  <c r="AD49" i="107" s="1"/>
  <c r="AF49" i="107" s="1"/>
  <c r="D47" i="101"/>
  <c r="F56" i="111"/>
  <c r="E56" i="111"/>
  <c r="G56" i="111"/>
  <c r="G49" i="111"/>
  <c r="E49" i="111"/>
  <c r="F49" i="111"/>
  <c r="F44" i="111"/>
  <c r="E44" i="111"/>
  <c r="G44" i="111"/>
  <c r="F38" i="111"/>
  <c r="E38" i="111"/>
  <c r="G38" i="111"/>
  <c r="S61" i="107"/>
  <c r="G57" i="111"/>
  <c r="F57" i="111"/>
  <c r="E57" i="111"/>
  <c r="F42" i="111"/>
  <c r="G42" i="111"/>
  <c r="E42" i="111"/>
  <c r="G55" i="111"/>
  <c r="F55" i="111"/>
  <c r="E55" i="111"/>
  <c r="E47" i="111"/>
  <c r="F47" i="111"/>
  <c r="G47" i="111"/>
  <c r="F51" i="101"/>
  <c r="G51" i="101"/>
  <c r="E51" i="101"/>
  <c r="G38" i="101"/>
  <c r="F38" i="101"/>
  <c r="E38" i="101"/>
  <c r="E19" i="111"/>
  <c r="G19" i="111"/>
  <c r="F19" i="111"/>
  <c r="AC20" i="107"/>
  <c r="AD20" i="107" s="1"/>
  <c r="AF20" i="107" s="1"/>
  <c r="S27" i="107"/>
  <c r="D21" i="101"/>
  <c r="F21" i="101" s="1"/>
  <c r="D19" i="101"/>
  <c r="E23" i="101"/>
  <c r="F23" i="101"/>
  <c r="G23" i="101"/>
  <c r="AA14" i="71"/>
  <c r="Y14" i="71"/>
  <c r="X14" i="71"/>
  <c r="W14" i="71"/>
  <c r="U14" i="71"/>
  <c r="S14" i="71"/>
  <c r="Q14" i="71"/>
  <c r="O14" i="71"/>
  <c r="M14" i="71"/>
  <c r="K14" i="71"/>
  <c r="I14" i="71"/>
  <c r="AA11" i="71"/>
  <c r="Y11" i="71"/>
  <c r="X11" i="71"/>
  <c r="W11" i="71"/>
  <c r="U11" i="71"/>
  <c r="S11" i="71"/>
  <c r="Q11" i="71"/>
  <c r="O11" i="71"/>
  <c r="M11" i="71"/>
  <c r="K11" i="71"/>
  <c r="I11" i="71"/>
  <c r="AA15" i="71"/>
  <c r="Y15" i="71"/>
  <c r="X15" i="71"/>
  <c r="W15" i="71"/>
  <c r="U15" i="71"/>
  <c r="S15" i="71"/>
  <c r="Q15" i="71"/>
  <c r="O15" i="71"/>
  <c r="M15" i="71"/>
  <c r="K15" i="71"/>
  <c r="I15" i="71"/>
  <c r="G47" i="101" l="1"/>
  <c r="F47" i="101"/>
  <c r="E47" i="101"/>
  <c r="G57" i="101"/>
  <c r="E57" i="101"/>
  <c r="F57" i="101"/>
  <c r="E21" i="101"/>
  <c r="G21" i="101"/>
  <c r="F19" i="101"/>
  <c r="E19" i="101"/>
  <c r="G19" i="101"/>
  <c r="Z14" i="71"/>
  <c r="G14" i="71" s="1"/>
  <c r="Z15" i="71"/>
  <c r="G15" i="71" s="1"/>
  <c r="Z11" i="71"/>
  <c r="G11" i="71" s="1"/>
  <c r="D11" i="71" s="1"/>
  <c r="B73" i="98"/>
  <c r="B72" i="98"/>
  <c r="B71" i="98"/>
  <c r="B70" i="98"/>
  <c r="B69" i="98"/>
  <c r="B68" i="98"/>
  <c r="B67" i="98"/>
  <c r="B66" i="98"/>
  <c r="D65" i="98"/>
  <c r="D43" i="98"/>
  <c r="B43" i="98"/>
  <c r="D42" i="98"/>
  <c r="B42" i="98"/>
  <c r="D41" i="98"/>
  <c r="B41" i="98"/>
  <c r="D40" i="98"/>
  <c r="B39" i="98"/>
  <c r="D38" i="98"/>
  <c r="B38" i="98"/>
  <c r="B37" i="98"/>
  <c r="B36" i="98"/>
  <c r="B35" i="98"/>
  <c r="D34" i="98"/>
  <c r="D33" i="98"/>
  <c r="B33" i="98"/>
  <c r="D31" i="98"/>
  <c r="B31" i="98"/>
  <c r="D30" i="98"/>
  <c r="B30" i="98"/>
  <c r="D29" i="98"/>
  <c r="B29" i="98"/>
  <c r="D28" i="98"/>
  <c r="B28" i="98"/>
  <c r="D27" i="98"/>
  <c r="B27" i="98"/>
  <c r="B25" i="98"/>
  <c r="D24" i="98"/>
  <c r="B24" i="98"/>
  <c r="D23" i="98"/>
  <c r="B23" i="98"/>
  <c r="D22" i="98"/>
  <c r="B22" i="98"/>
  <c r="D21" i="98"/>
  <c r="B21" i="98"/>
  <c r="D20" i="98"/>
  <c r="B20" i="98"/>
  <c r="D19" i="98"/>
  <c r="B19" i="98"/>
  <c r="D18" i="98"/>
  <c r="B18" i="98"/>
  <c r="D15" i="98"/>
  <c r="D14" i="98"/>
  <c r="B14" i="98"/>
  <c r="D13" i="98"/>
  <c r="B13" i="98"/>
  <c r="D12" i="98"/>
  <c r="B12" i="98"/>
  <c r="G44" i="97"/>
  <c r="F44" i="97"/>
  <c r="G35" i="97"/>
  <c r="F35" i="97"/>
  <c r="D35" i="97" s="1"/>
  <c r="D34" i="97"/>
  <c r="D33" i="97"/>
  <c r="D32" i="97"/>
  <c r="D31" i="97"/>
  <c r="G30" i="97"/>
  <c r="F30" i="97"/>
  <c r="G29" i="97"/>
  <c r="F29" i="97"/>
  <c r="D29" i="97" s="1"/>
  <c r="D28" i="97"/>
  <c r="F27" i="97"/>
  <c r="D27" i="97" s="1"/>
  <c r="F26" i="97"/>
  <c r="D26" i="97" s="1"/>
  <c r="D24" i="97"/>
  <c r="D23" i="97"/>
  <c r="G22" i="97"/>
  <c r="F22" i="97"/>
  <c r="G21" i="97"/>
  <c r="F21" i="97"/>
  <c r="D20" i="97"/>
  <c r="F19" i="97"/>
  <c r="D19" i="97" s="1"/>
  <c r="G17" i="97"/>
  <c r="F17" i="97"/>
  <c r="D17" i="97" s="1"/>
  <c r="D16" i="97"/>
  <c r="D15" i="97"/>
  <c r="H14" i="97"/>
  <c r="H13" i="97"/>
  <c r="H12" i="97"/>
  <c r="F10" i="97"/>
  <c r="F13" i="97" s="1"/>
  <c r="G36" i="97" l="1"/>
  <c r="G42" i="97" s="1"/>
  <c r="G45" i="97" s="1"/>
  <c r="D21" i="97"/>
  <c r="D22" i="97"/>
  <c r="D30" i="97"/>
  <c r="D10" i="97"/>
  <c r="AB15" i="71"/>
  <c r="E17" i="110" s="1"/>
  <c r="F17" i="110" s="1"/>
  <c r="D15" i="71"/>
  <c r="E15" i="71" s="1"/>
  <c r="AB14" i="71"/>
  <c r="D14" i="71"/>
  <c r="E14" i="71" s="1"/>
  <c r="E11" i="71"/>
  <c r="D16" i="98"/>
  <c r="F37" i="97" s="1"/>
  <c r="D37" i="97" s="1"/>
  <c r="J19" i="97" s="1"/>
  <c r="D10" i="98"/>
  <c r="F14" i="97"/>
  <c r="D14" i="97" s="1"/>
  <c r="F12" i="97"/>
  <c r="D12" i="97" s="1"/>
  <c r="D13" i="97"/>
  <c r="E16" i="107" l="1"/>
  <c r="F16" i="107" s="1"/>
  <c r="E16" i="110"/>
  <c r="F16" i="110" s="1"/>
  <c r="E10" i="110"/>
  <c r="F10" i="110" s="1"/>
  <c r="E11" i="110"/>
  <c r="F11" i="110" s="1"/>
  <c r="Y17" i="110"/>
  <c r="Z17" i="110"/>
  <c r="G17" i="110"/>
  <c r="J17" i="110" s="1"/>
  <c r="V17" i="110"/>
  <c r="K17" i="110"/>
  <c r="L17" i="110"/>
  <c r="Z16" i="107"/>
  <c r="Y16" i="107"/>
  <c r="M14" i="97"/>
  <c r="J10" i="97"/>
  <c r="J33" i="97"/>
  <c r="J14" i="97"/>
  <c r="J31" i="97"/>
  <c r="J28" i="97"/>
  <c r="J16" i="97"/>
  <c r="J11" i="97"/>
  <c r="J32" i="97"/>
  <c r="J35" i="97"/>
  <c r="D45" i="98"/>
  <c r="M10" i="97"/>
  <c r="J18" i="97"/>
  <c r="J24" i="97"/>
  <c r="J27" i="97"/>
  <c r="J34" i="97"/>
  <c r="J15" i="97"/>
  <c r="J30" i="97"/>
  <c r="J22" i="97"/>
  <c r="M12" i="97"/>
  <c r="J20" i="97"/>
  <c r="E11" i="107"/>
  <c r="F11" i="107" s="1"/>
  <c r="E10" i="107"/>
  <c r="F10" i="107" s="1"/>
  <c r="E17" i="107"/>
  <c r="F17" i="107" s="1"/>
  <c r="G16" i="107"/>
  <c r="K16" i="107" s="1"/>
  <c r="AB11" i="71"/>
  <c r="J26" i="97"/>
  <c r="J29" i="97"/>
  <c r="J25" i="97"/>
  <c r="J12" i="97"/>
  <c r="J21" i="97"/>
  <c r="J17" i="97"/>
  <c r="J23" i="97"/>
  <c r="F36" i="97"/>
  <c r="F42" i="97" s="1"/>
  <c r="F45" i="97" s="1"/>
  <c r="M13" i="97"/>
  <c r="J13" i="97"/>
  <c r="D36" i="97"/>
  <c r="Z11" i="110" l="1"/>
  <c r="Y11" i="110"/>
  <c r="I11" i="110"/>
  <c r="J11" i="110"/>
  <c r="G11" i="110"/>
  <c r="V11" i="110" s="1"/>
  <c r="L11" i="110"/>
  <c r="K11" i="110"/>
  <c r="G10" i="110"/>
  <c r="L10" i="110" s="1"/>
  <c r="J10" i="110"/>
  <c r="Y10" i="110"/>
  <c r="I10" i="110"/>
  <c r="H10" i="110" s="1"/>
  <c r="W10" i="110" s="1"/>
  <c r="AB10" i="110" s="1"/>
  <c r="Z10" i="110"/>
  <c r="K10" i="110"/>
  <c r="V10" i="110"/>
  <c r="N10" i="110"/>
  <c r="P10" i="110" s="1"/>
  <c r="Q10" i="110" s="1"/>
  <c r="R10" i="110" s="1"/>
  <c r="S10" i="110" s="1"/>
  <c r="I17" i="110"/>
  <c r="H17" i="110" s="1"/>
  <c r="W17" i="110" s="1"/>
  <c r="AB17" i="110" s="1"/>
  <c r="G16" i="110"/>
  <c r="L16" i="110" s="1"/>
  <c r="Y16" i="110"/>
  <c r="Z16" i="110"/>
  <c r="K16" i="110"/>
  <c r="J16" i="110"/>
  <c r="I16" i="110"/>
  <c r="H16" i="110" s="1"/>
  <c r="W16" i="110" s="1"/>
  <c r="N17" i="110"/>
  <c r="P17" i="110" s="1"/>
  <c r="Q17" i="110" s="1"/>
  <c r="R17" i="110" s="1"/>
  <c r="S17" i="110" s="1"/>
  <c r="Z17" i="107"/>
  <c r="Y17" i="107"/>
  <c r="V16" i="107"/>
  <c r="Y10" i="107"/>
  <c r="Z10" i="107"/>
  <c r="Z11" i="107"/>
  <c r="Y11" i="107"/>
  <c r="I16" i="107"/>
  <c r="L16" i="107"/>
  <c r="J16" i="107"/>
  <c r="G10" i="107"/>
  <c r="V10" i="107" s="1"/>
  <c r="G11" i="107"/>
  <c r="J11" i="107" s="1"/>
  <c r="G17" i="107"/>
  <c r="J17" i="107" s="1"/>
  <c r="J36" i="97"/>
  <c r="D38" i="97"/>
  <c r="D9" i="111" l="1"/>
  <c r="AC10" i="110"/>
  <c r="AD10" i="110" s="1"/>
  <c r="AF10" i="110" s="1"/>
  <c r="H11" i="110"/>
  <c r="D16" i="111"/>
  <c r="AC17" i="110"/>
  <c r="AD17" i="110" s="1"/>
  <c r="AF17" i="110" s="1"/>
  <c r="N16" i="110"/>
  <c r="P16" i="110" s="1"/>
  <c r="Q16" i="110" s="1"/>
  <c r="V16" i="110"/>
  <c r="AB16" i="110" s="1"/>
  <c r="V17" i="107"/>
  <c r="V11" i="107"/>
  <c r="K10" i="107"/>
  <c r="I17" i="107"/>
  <c r="H16" i="107"/>
  <c r="W16" i="107" s="1"/>
  <c r="AB16" i="107" s="1"/>
  <c r="L11" i="107"/>
  <c r="I10" i="107"/>
  <c r="K11" i="107"/>
  <c r="J10" i="107"/>
  <c r="L10" i="107"/>
  <c r="K17" i="107"/>
  <c r="L17" i="107"/>
  <c r="I11" i="107"/>
  <c r="W11" i="110" l="1"/>
  <c r="AB11" i="110" s="1"/>
  <c r="N11" i="110"/>
  <c r="P11" i="110" s="1"/>
  <c r="Q11" i="110" s="1"/>
  <c r="R11" i="110" s="1"/>
  <c r="S11" i="110" s="1"/>
  <c r="R16" i="110"/>
  <c r="S16" i="110" s="1"/>
  <c r="E16" i="111"/>
  <c r="G16" i="111"/>
  <c r="F16" i="111"/>
  <c r="F9" i="111"/>
  <c r="G9" i="111"/>
  <c r="E9" i="111"/>
  <c r="H10" i="107"/>
  <c r="N16" i="107"/>
  <c r="P16" i="107" s="1"/>
  <c r="Q16" i="107" s="1"/>
  <c r="R16" i="107" s="1"/>
  <c r="S16" i="107" s="1"/>
  <c r="H17" i="107"/>
  <c r="W17" i="107" s="1"/>
  <c r="AB17" i="107" s="1"/>
  <c r="H11" i="107"/>
  <c r="W11" i="107" s="1"/>
  <c r="AB11" i="107" s="1"/>
  <c r="D15" i="111" l="1"/>
  <c r="AC16" i="110"/>
  <c r="AD16" i="110" s="1"/>
  <c r="AF16" i="110" s="1"/>
  <c r="D10" i="111"/>
  <c r="AC11" i="110"/>
  <c r="AD11" i="110" s="1"/>
  <c r="AF11" i="110" s="1"/>
  <c r="D15" i="101"/>
  <c r="F15" i="101" s="1"/>
  <c r="AC16" i="107"/>
  <c r="AD16" i="107" s="1"/>
  <c r="AF16" i="107" s="1"/>
  <c r="W10" i="107"/>
  <c r="N11" i="107"/>
  <c r="P11" i="107" s="1"/>
  <c r="Q11" i="107" s="1"/>
  <c r="R11" i="107" s="1"/>
  <c r="S11" i="107" s="1"/>
  <c r="D10" i="101" s="1"/>
  <c r="G15" i="101"/>
  <c r="N17" i="107"/>
  <c r="P17" i="107" s="1"/>
  <c r="Q17" i="107" s="1"/>
  <c r="R17" i="107" s="1"/>
  <c r="N10" i="107"/>
  <c r="P10" i="107" s="1"/>
  <c r="Q10" i="107" s="1"/>
  <c r="R10" i="107" s="1"/>
  <c r="S10" i="107" s="1"/>
  <c r="D9" i="101" s="1"/>
  <c r="G10" i="111" l="1"/>
  <c r="F10" i="111"/>
  <c r="E10" i="111"/>
  <c r="E15" i="111"/>
  <c r="G15" i="111"/>
  <c r="F15" i="111"/>
  <c r="E15" i="101"/>
  <c r="AC11" i="107"/>
  <c r="AD11" i="107" s="1"/>
  <c r="AF11" i="107" s="1"/>
  <c r="G9" i="101"/>
  <c r="S17" i="107"/>
  <c r="E10" i="101"/>
  <c r="F10" i="101"/>
  <c r="G10" i="101"/>
  <c r="F9" i="101"/>
  <c r="AA12" i="71"/>
  <c r="D16" i="101" l="1"/>
  <c r="G16" i="101" s="1"/>
  <c r="AC17" i="107"/>
  <c r="AD17" i="107" s="1"/>
  <c r="AF17" i="107" s="1"/>
  <c r="E9" i="101"/>
  <c r="S12" i="71"/>
  <c r="S13" i="71"/>
  <c r="E16" i="101" l="1"/>
  <c r="F16" i="101"/>
  <c r="X12" i="71"/>
  <c r="X13" i="71"/>
  <c r="AA13" i="71" l="1"/>
  <c r="Y13" i="71"/>
  <c r="Z13" i="71" s="1"/>
  <c r="U13" i="71"/>
  <c r="Q13" i="71"/>
  <c r="O13" i="71"/>
  <c r="M13" i="71"/>
  <c r="I13" i="71"/>
  <c r="Y12" i="71"/>
  <c r="Z12" i="71" s="1"/>
  <c r="U12" i="71"/>
  <c r="Q12" i="71"/>
  <c r="O12" i="71"/>
  <c r="M12" i="71"/>
  <c r="I12" i="71"/>
  <c r="W12" i="71" l="1"/>
  <c r="K13" i="71"/>
  <c r="K12" i="71"/>
  <c r="W13" i="71"/>
  <c r="G12" i="71" l="1"/>
  <c r="G13" i="71"/>
  <c r="AB13" i="71" l="1"/>
  <c r="D13" i="71"/>
  <c r="E13" i="71" s="1"/>
  <c r="AB12" i="71"/>
  <c r="D12" i="71"/>
  <c r="E12" i="71" s="1"/>
  <c r="E13" i="107" l="1"/>
  <c r="F13" i="107" s="1"/>
  <c r="E13" i="110"/>
  <c r="F13" i="110" s="1"/>
  <c r="E12" i="110"/>
  <c r="F12" i="110" s="1"/>
  <c r="E14" i="110"/>
  <c r="F14" i="110" s="1"/>
  <c r="E15" i="110"/>
  <c r="F15" i="110" s="1"/>
  <c r="E15" i="107"/>
  <c r="F15" i="107" s="1"/>
  <c r="E14" i="107"/>
  <c r="F14" i="107" s="1"/>
  <c r="Y13" i="107"/>
  <c r="Z13" i="107"/>
  <c r="G13" i="107"/>
  <c r="L13" i="107" s="1"/>
  <c r="E12" i="107"/>
  <c r="F12" i="107" s="1"/>
  <c r="G14" i="110" l="1"/>
  <c r="V14" i="110" s="1"/>
  <c r="Y14" i="110"/>
  <c r="Z14" i="110"/>
  <c r="L14" i="110"/>
  <c r="K14" i="110"/>
  <c r="Y12" i="110"/>
  <c r="G12" i="110"/>
  <c r="L12" i="110" s="1"/>
  <c r="J12" i="110"/>
  <c r="Z12" i="110"/>
  <c r="I12" i="110"/>
  <c r="V12" i="110"/>
  <c r="Z13" i="110"/>
  <c r="Y13" i="110"/>
  <c r="G13" i="110"/>
  <c r="I13" i="110" s="1"/>
  <c r="L13" i="110"/>
  <c r="V13" i="110"/>
  <c r="Z15" i="110"/>
  <c r="Y15" i="110"/>
  <c r="G15" i="110"/>
  <c r="J15" i="110" s="1"/>
  <c r="V15" i="110"/>
  <c r="I15" i="110"/>
  <c r="G14" i="107"/>
  <c r="I14" i="107" s="1"/>
  <c r="J14" i="107"/>
  <c r="G15" i="107"/>
  <c r="I15" i="107" s="1"/>
  <c r="J15" i="107"/>
  <c r="Z15" i="107"/>
  <c r="Y15" i="107"/>
  <c r="Y14" i="107"/>
  <c r="Z14" i="107"/>
  <c r="V13" i="107"/>
  <c r="Z12" i="107"/>
  <c r="Y12" i="107"/>
  <c r="K13" i="107"/>
  <c r="J13" i="107"/>
  <c r="I13" i="107"/>
  <c r="G12" i="107"/>
  <c r="L12" i="107" s="1"/>
  <c r="H15" i="110" l="1"/>
  <c r="K15" i="107"/>
  <c r="L15" i="110"/>
  <c r="J13" i="110"/>
  <c r="L15" i="107"/>
  <c r="K15" i="110"/>
  <c r="K13" i="110"/>
  <c r="K12" i="110"/>
  <c r="H12" i="110" s="1"/>
  <c r="I14" i="110"/>
  <c r="J14" i="110"/>
  <c r="H15" i="107"/>
  <c r="N15" i="107" s="1"/>
  <c r="P15" i="107" s="1"/>
  <c r="Q15" i="107" s="1"/>
  <c r="R15" i="107" s="1"/>
  <c r="S15" i="107" s="1"/>
  <c r="L14" i="107"/>
  <c r="K14" i="107"/>
  <c r="H14" i="107" s="1"/>
  <c r="V14" i="107"/>
  <c r="V12" i="107"/>
  <c r="V15" i="107"/>
  <c r="H13" i="107"/>
  <c r="W13" i="107" s="1"/>
  <c r="AB13" i="107" s="1"/>
  <c r="K12" i="107"/>
  <c r="J12" i="107"/>
  <c r="I12" i="107"/>
  <c r="W12" i="110" l="1"/>
  <c r="AB12" i="110" s="1"/>
  <c r="N12" i="110"/>
  <c r="P12" i="110" s="1"/>
  <c r="Q12" i="110" s="1"/>
  <c r="R12" i="110" s="1"/>
  <c r="S12" i="110" s="1"/>
  <c r="H13" i="110"/>
  <c r="W15" i="110"/>
  <c r="AB15" i="110" s="1"/>
  <c r="N15" i="110"/>
  <c r="P15" i="110" s="1"/>
  <c r="Q15" i="110" s="1"/>
  <c r="R15" i="110" s="1"/>
  <c r="S15" i="110" s="1"/>
  <c r="N14" i="107"/>
  <c r="P14" i="107" s="1"/>
  <c r="Q14" i="107" s="1"/>
  <c r="H14" i="110"/>
  <c r="R14" i="107"/>
  <c r="S14" i="107" s="1"/>
  <c r="N13" i="107"/>
  <c r="P13" i="107" s="1"/>
  <c r="Q13" i="107" s="1"/>
  <c r="R13" i="107" s="1"/>
  <c r="S13" i="107" s="1"/>
  <c r="D12" i="101" s="1"/>
  <c r="W14" i="107"/>
  <c r="AB14" i="107" s="1"/>
  <c r="H12" i="107"/>
  <c r="W12" i="107" s="1"/>
  <c r="AB12" i="107" s="1"/>
  <c r="W15" i="107"/>
  <c r="AB15" i="107" s="1"/>
  <c r="W14" i="110" l="1"/>
  <c r="AB14" i="110" s="1"/>
  <c r="N14" i="110"/>
  <c r="P14" i="110" s="1"/>
  <c r="Q14" i="110" s="1"/>
  <c r="R14" i="110" s="1"/>
  <c r="S14" i="110" s="1"/>
  <c r="W13" i="110"/>
  <c r="AB13" i="110" s="1"/>
  <c r="N13" i="110"/>
  <c r="P13" i="110" s="1"/>
  <c r="Q13" i="110" s="1"/>
  <c r="R13" i="110" s="1"/>
  <c r="S13" i="110" s="1"/>
  <c r="D11" i="111"/>
  <c r="AC12" i="110"/>
  <c r="AD12" i="110" s="1"/>
  <c r="AF12" i="110" s="1"/>
  <c r="D14" i="111"/>
  <c r="AC15" i="110"/>
  <c r="AD15" i="110"/>
  <c r="AF15" i="110" s="1"/>
  <c r="AC13" i="107"/>
  <c r="AD13" i="107" s="1"/>
  <c r="AF13" i="107" s="1"/>
  <c r="AC14" i="107"/>
  <c r="AD14" i="107" s="1"/>
  <c r="AF14" i="107" s="1"/>
  <c r="N12" i="107"/>
  <c r="P12" i="107" s="1"/>
  <c r="Q12" i="107" s="1"/>
  <c r="R12" i="107" s="1"/>
  <c r="S12" i="107" s="1"/>
  <c r="AC12" i="107" s="1"/>
  <c r="AD12" i="107" s="1"/>
  <c r="AF12" i="107" s="1"/>
  <c r="F12" i="101"/>
  <c r="E12" i="101"/>
  <c r="G12" i="101"/>
  <c r="E14" i="111" l="1"/>
  <c r="F14" i="111"/>
  <c r="G14" i="111"/>
  <c r="D12" i="111"/>
  <c r="AC13" i="110"/>
  <c r="AD13" i="110"/>
  <c r="AF13" i="110" s="1"/>
  <c r="S19" i="110"/>
  <c r="S62" i="110" s="1"/>
  <c r="D13" i="111"/>
  <c r="AC14" i="110"/>
  <c r="AD14" i="110" s="1"/>
  <c r="AF14" i="110" s="1"/>
  <c r="E11" i="111"/>
  <c r="F11" i="111"/>
  <c r="G11" i="111"/>
  <c r="D14" i="101"/>
  <c r="G14" i="101" s="1"/>
  <c r="AC15" i="107"/>
  <c r="AD15" i="107" s="1"/>
  <c r="AF15" i="107" s="1"/>
  <c r="D13" i="101"/>
  <c r="D11" i="101"/>
  <c r="S19" i="107"/>
  <c r="G13" i="111" l="1"/>
  <c r="F13" i="111"/>
  <c r="E13" i="111"/>
  <c r="E12" i="111"/>
  <c r="G12" i="111"/>
  <c r="F12" i="111"/>
  <c r="F14" i="101"/>
  <c r="E14" i="101"/>
  <c r="G13" i="101"/>
  <c r="E13" i="101"/>
  <c r="F13" i="101"/>
  <c r="E11" i="101"/>
  <c r="G11" i="101"/>
  <c r="F11" i="101"/>
  <c r="S62" i="107"/>
  <c r="AA10" i="107" l="1"/>
  <c r="AB10" i="107" s="1"/>
  <c r="AC10" i="107" l="1"/>
  <c r="AD10" i="107" s="1"/>
  <c r="AF10" i="10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PEO-4</author>
  </authors>
  <commentList>
    <comment ref="R9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НК РБ ст 118 п. 1.28.3</t>
        </r>
      </text>
    </comment>
    <comment ref="C16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кропа</t>
        </r>
      </text>
    </comment>
    <comment ref="C17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ЖДОНЕЦ</t>
        </r>
      </text>
    </comment>
    <comment ref="C20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Кулага Е.Я.</t>
        </r>
      </text>
    </comment>
    <comment ref="C21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Котова</t>
        </r>
      </text>
    </comment>
    <comment ref="C26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Лучко</t>
        </r>
      </text>
    </comment>
    <comment ref="C28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кожан онко 1</t>
        </r>
      </text>
    </comment>
    <comment ref="C2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камарец онко-5</t>
        </r>
      </text>
    </comment>
    <comment ref="C30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гарелик онко-3</t>
        </r>
      </text>
    </comment>
    <comment ref="C31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савко</t>
        </r>
      </text>
    </comment>
    <comment ref="C33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плавский</t>
        </r>
      </text>
    </comment>
    <comment ref="C36" authorId="0" shapeId="0" xr:uid="{00000000-0006-0000-0300-00000C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логош с м</t>
        </r>
      </text>
    </comment>
    <comment ref="C3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максименко гемодиализ</t>
        </r>
      </text>
    </comment>
    <comment ref="C39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выдра оар 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PEO-4</author>
  </authors>
  <commentList>
    <comment ref="R9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НК РБ ст 118 п. 1.28.3</t>
        </r>
      </text>
    </comment>
    <comment ref="C1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кропа</t>
        </r>
      </text>
    </comment>
    <comment ref="C17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ЖДОНЕЦ</t>
        </r>
      </text>
    </comment>
    <comment ref="C20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Кулага Е.Я.</t>
        </r>
      </text>
    </comment>
    <comment ref="C21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Котова</t>
        </r>
      </text>
    </comment>
    <comment ref="C26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Лучко</t>
        </r>
      </text>
    </comment>
    <comment ref="C28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кожан онко 1</t>
        </r>
      </text>
    </comment>
    <comment ref="C29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камарец онко-5</t>
        </r>
      </text>
    </comment>
    <comment ref="C30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гарелик онко-3</t>
        </r>
      </text>
    </comment>
    <comment ref="C31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савко</t>
        </r>
      </text>
    </comment>
    <comment ref="C33" authorId="0" shapeId="0" xr:uid="{00000000-0006-0000-0400-00000B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плавский</t>
        </r>
      </text>
    </comment>
    <comment ref="C36" authorId="0" shapeId="0" xr:uid="{00000000-0006-0000-0400-00000C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логош с м</t>
        </r>
      </text>
    </comment>
    <comment ref="C38" authorId="0" shapeId="0" xr:uid="{00000000-0006-0000-0400-00000D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максименко гемодиализ</t>
        </r>
      </text>
    </comment>
    <comment ref="C39" authorId="0" shapeId="0" xr:uid="{00000000-0006-0000-0400-00000E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выдра оар 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PEO-4</author>
  </authors>
  <commentList>
    <comment ref="K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с 01.09.2024</t>
        </r>
      </text>
    </comment>
    <comment ref="X5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из расчета 0,5 оклада на год</t>
        </r>
      </text>
    </comment>
    <comment ref="Y5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из расчета 0,3 оклада на год</t>
        </r>
      </text>
    </comment>
    <comment ref="Z5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0,3  оклада мат пом,
01 оклада оздоровление =
1.03 оклада на год</t>
        </r>
      </text>
    </comment>
    <comment ref="Z7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0,3  оклада мат пом,
0,5 оклада оздоровление</t>
        </r>
      </text>
    </comment>
    <comment ref="T10" authorId="0" shapeId="0" xr:uid="{00000000-0006-0000-0500-00000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средняя по клинике 80%</t>
        </r>
      </text>
    </comment>
    <comment ref="B11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Горячев</t>
        </r>
      </text>
    </comment>
    <comment ref="F11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с 01.09.2024 оклады поменяются, т.к. базовая ставка увеличится с 250 руб до 253.0
поэтому старый оклад/250*253</t>
        </r>
      </text>
    </comment>
    <comment ref="X11" authorId="0" shapeId="0" xr:uid="{00000000-0006-0000-0500-000009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11" authorId="0" shapeId="0" xr:uid="{00000000-0006-0000-0500-00000A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12" authorId="0" shapeId="0" xr:uid="{00000000-0006-0000-0500-00000B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карпович </t>
        </r>
      </text>
    </comment>
    <comment ref="C12" authorId="0" shapeId="0" xr:uid="{00000000-0006-0000-0500-00000C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5-ти дневка 38.5</t>
        </r>
      </text>
    </comment>
    <comment ref="X12" authorId="0" shapeId="0" xr:uid="{00000000-0006-0000-0500-00000D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12" authorId="0" shapeId="0" xr:uid="{00000000-0006-0000-0500-00000E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13" authorId="0" shapeId="0" xr:uid="{00000000-0006-0000-0500-00000F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карпович Сорока</t>
        </r>
      </text>
    </comment>
    <comment ref="X13" authorId="0" shapeId="0" xr:uid="{00000000-0006-0000-0500-000010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13" authorId="0" shapeId="0" xr:uid="{00000000-0006-0000-0500-00001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14" authorId="0" shapeId="0" xr:uid="{00000000-0006-0000-0500-00001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кропа</t>
        </r>
      </text>
    </comment>
    <comment ref="X14" authorId="0" shapeId="0" xr:uid="{00000000-0006-0000-0500-00001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14" authorId="0" shapeId="0" xr:uid="{00000000-0006-0000-0500-00001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15" authorId="0" shapeId="0" xr:uid="{00000000-0006-0000-0500-00001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дайнович</t>
        </r>
      </text>
    </comment>
    <comment ref="X15" authorId="0" shapeId="0" xr:uid="{00000000-0006-0000-0500-00001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15" authorId="0" shapeId="0" xr:uid="{00000000-0006-0000-0500-00001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16" authorId="0" shapeId="0" xr:uid="{00000000-0006-0000-0500-00001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Василевич</t>
        </r>
      </text>
    </comment>
    <comment ref="X16" authorId="0" shapeId="0" xr:uid="{00000000-0006-0000-0500-000019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16" authorId="0" shapeId="0" xr:uid="{00000000-0006-0000-0500-00001A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18" authorId="0" shapeId="0" xr:uid="{00000000-0006-0000-0500-00001B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Кулага Е.Я.</t>
        </r>
      </text>
    </comment>
    <comment ref="X18" authorId="0" shapeId="0" xr:uid="{00000000-0006-0000-0500-00001C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18" authorId="0" shapeId="0" xr:uid="{00000000-0006-0000-0500-00001D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19" authorId="0" shapeId="0" xr:uid="{00000000-0006-0000-0500-00001E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Котова</t>
        </r>
      </text>
    </comment>
    <comment ref="X19" authorId="0" shapeId="0" xr:uid="{00000000-0006-0000-0500-00001F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19" authorId="0" shapeId="0" xr:uid="{00000000-0006-0000-0500-000020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20" authorId="0" shapeId="0" xr:uid="{00000000-0006-0000-0500-00002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Петрикевич</t>
        </r>
      </text>
    </comment>
    <comment ref="X20" authorId="0" shapeId="0" xr:uid="{00000000-0006-0000-0500-00002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20" authorId="0" shapeId="0" xr:uid="{00000000-0006-0000-0500-00002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21" authorId="0" shapeId="0" xr:uid="{00000000-0006-0000-0500-00002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Хоперский</t>
        </r>
      </text>
    </comment>
    <comment ref="X21" authorId="0" shapeId="0" xr:uid="{00000000-0006-0000-0500-00002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21" authorId="0" shapeId="0" xr:uid="{00000000-0006-0000-0500-00002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24" authorId="0" shapeId="0" xr:uid="{00000000-0006-0000-0500-00002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кожан онко 1</t>
        </r>
      </text>
    </comment>
    <comment ref="X24" authorId="0" shapeId="0" xr:uid="{00000000-0006-0000-0500-00002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24" authorId="0" shapeId="0" xr:uid="{00000000-0006-0000-0500-000029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25" authorId="0" shapeId="0" xr:uid="{00000000-0006-0000-0500-00002A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камарец ОТПи ПЭХ</t>
        </r>
      </text>
    </comment>
    <comment ref="X25" authorId="0" shapeId="0" xr:uid="{00000000-0006-0000-0500-00002B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25" authorId="0" shapeId="0" xr:uid="{00000000-0006-0000-0500-00002C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26" authorId="0" shapeId="0" xr:uid="{00000000-0006-0000-0500-00002D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гарелик онко-3</t>
        </r>
      </text>
    </comment>
    <comment ref="X26" authorId="0" shapeId="0" xr:uid="{00000000-0006-0000-0500-00002E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26" authorId="0" shapeId="0" xr:uid="{00000000-0006-0000-0500-00002F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27" authorId="0" shapeId="0" xr:uid="{00000000-0006-0000-0500-000030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савко</t>
        </r>
      </text>
    </comment>
    <comment ref="X27" authorId="0" shapeId="0" xr:uid="{00000000-0006-0000-0500-00003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27" authorId="0" shapeId="0" xr:uid="{00000000-0006-0000-0500-00003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29" authorId="0" shapeId="0" xr:uid="{00000000-0006-0000-0500-00003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плавский</t>
        </r>
      </text>
    </comment>
    <comment ref="X29" authorId="0" shapeId="0" xr:uid="{00000000-0006-0000-0500-00003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29" authorId="0" shapeId="0" xr:uid="{00000000-0006-0000-0500-00003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31" authorId="0" shapeId="0" xr:uid="{00000000-0006-0000-0500-00003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логош с м</t>
        </r>
      </text>
    </comment>
    <comment ref="X31" authorId="0" shapeId="0" xr:uid="{00000000-0006-0000-0500-00003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31" authorId="0" shapeId="0" xr:uid="{00000000-0006-0000-0500-00003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33" authorId="0" shapeId="0" xr:uid="{00000000-0006-0000-0500-000039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максименко гемодиализ</t>
        </r>
      </text>
    </comment>
    <comment ref="X33" authorId="0" shapeId="0" xr:uid="{00000000-0006-0000-0500-00003A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33" authorId="0" shapeId="0" xr:uid="{00000000-0006-0000-0500-00003B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34" authorId="0" shapeId="0" xr:uid="{00000000-0006-0000-0500-00003C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выдра оар 1</t>
        </r>
      </text>
    </comment>
    <comment ref="C34" authorId="0" shapeId="0" xr:uid="{00000000-0006-0000-0500-00003D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6.5 час в деньх5 дней+6 час*1 день= 38.5 час 6-ти дневка</t>
        </r>
      </text>
    </comment>
    <comment ref="X34" authorId="0" shapeId="0" xr:uid="{00000000-0006-0000-0500-00003E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34" authorId="0" shapeId="0" xr:uid="{00000000-0006-0000-0500-00003F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36" authorId="0" shapeId="0" xr:uid="{00000000-0006-0000-0500-000040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Гавина</t>
        </r>
      </text>
    </comment>
    <comment ref="C36" authorId="0" shapeId="0" xr:uid="{00000000-0006-0000-0500-00004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5-ти дневка 38.5 (7.7 ч в день)</t>
        </r>
      </text>
    </comment>
    <comment ref="X36" authorId="0" shapeId="0" xr:uid="{00000000-0006-0000-0500-00004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36" authorId="0" shapeId="0" xr:uid="{00000000-0006-0000-0500-00004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37" authorId="0" shapeId="0" xr:uid="{00000000-0006-0000-0500-00004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Волкова</t>
        </r>
      </text>
    </comment>
    <comment ref="C37" authorId="0" shapeId="0" xr:uid="{00000000-0006-0000-0500-00004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5-ти дневка 30 час неделя</t>
        </r>
      </text>
    </comment>
    <comment ref="X37" authorId="0" shapeId="0" xr:uid="{00000000-0006-0000-0500-00004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37" authorId="0" shapeId="0" xr:uid="{00000000-0006-0000-0500-00004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38" authorId="0" shapeId="0" xr:uid="{00000000-0006-0000-0500-00004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Маркевич</t>
        </r>
      </text>
    </comment>
    <comment ref="C38" authorId="0" shapeId="0" xr:uid="{00000000-0006-0000-0500-000049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5-ти дневка 30 час неделя</t>
        </r>
      </text>
    </comment>
    <comment ref="X38" authorId="0" shapeId="0" xr:uid="{00000000-0006-0000-0500-00004A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38" authorId="0" shapeId="0" xr:uid="{00000000-0006-0000-0500-00004B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C39" authorId="0" shapeId="0" xr:uid="{00000000-0006-0000-0500-00004C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5-ти дневка 38.5 час неделя</t>
        </r>
      </text>
    </comment>
    <comment ref="X39" authorId="0" shapeId="0" xr:uid="{00000000-0006-0000-0500-00004D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39" authorId="0" shapeId="0" xr:uid="{00000000-0006-0000-0500-00004E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C40" authorId="0" shapeId="0" xr:uid="{00000000-0006-0000-0500-00004F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5-ти дневка 35 час неделя (7.0 в день)</t>
        </r>
      </text>
    </comment>
    <comment ref="X40" authorId="0" shapeId="0" xr:uid="{00000000-0006-0000-0500-000050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40" authorId="0" shapeId="0" xr:uid="{00000000-0006-0000-0500-00005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43" authorId="0" shapeId="0" xr:uid="{00000000-0006-0000-0500-00005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лысуха оар 1</t>
        </r>
      </text>
    </comment>
    <comment ref="C43" authorId="0" shapeId="0" xr:uid="{00000000-0006-0000-0500-00005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5-ти дневка 38.5 час неделя</t>
        </r>
      </text>
    </comment>
    <comment ref="X43" authorId="0" shapeId="0" xr:uid="{00000000-0006-0000-0500-00005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43" authorId="0" shapeId="0" xr:uid="{00000000-0006-0000-0500-00005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44" authorId="0" shapeId="0" xr:uid="{00000000-0006-0000-0500-00005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антонович о и</t>
        </r>
      </text>
    </comment>
    <comment ref="C44" authorId="0" shapeId="0" xr:uid="{00000000-0006-0000-0500-00005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5-ти дневка 38.5 час неделя</t>
        </r>
      </text>
    </comment>
    <comment ref="X44" authorId="0" shapeId="0" xr:uid="{00000000-0006-0000-0500-00005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44" authorId="0" shapeId="0" xr:uid="{00000000-0006-0000-0500-000059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45" authorId="0" shapeId="0" xr:uid="{00000000-0006-0000-0500-00005A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шапель ю.в. гемодиализ</t>
        </r>
      </text>
    </comment>
    <comment ref="X45" authorId="0" shapeId="0" xr:uid="{00000000-0006-0000-0500-00005B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45" authorId="0" shapeId="0" xr:uid="{00000000-0006-0000-0500-00005C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  <comment ref="B46" authorId="0" shapeId="0" xr:uid="{00000000-0006-0000-0500-00005D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зайченко опер хир блок</t>
        </r>
      </text>
    </comment>
    <comment ref="X46" authorId="0" shapeId="0" xr:uid="{00000000-0006-0000-0500-00005E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 *0,5/12 мес</t>
        </r>
      </text>
    </comment>
    <comment ref="Y46" authorId="0" shapeId="0" xr:uid="{00000000-0006-0000-0500-00005F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оклад*0,3/12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PEO-4</author>
  </authors>
  <commentList>
    <comment ref="C2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даёт информацию Т.А. Сытая (ОК)</t>
        </r>
      </text>
    </comment>
    <comment ref="B5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Горячев</t>
        </r>
      </text>
    </comment>
    <comment ref="B6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карпович </t>
        </r>
      </text>
    </comment>
    <comment ref="B7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карпович </t>
        </r>
      </text>
    </comment>
    <comment ref="B8" authorId="0" shapeId="0" xr:uid="{00000000-0006-0000-0600-00000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кропа</t>
        </r>
      </text>
    </comment>
    <comment ref="B10" authorId="0" shapeId="0" xr:uid="{00000000-0006-0000-0600-00000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ждонец</t>
        </r>
      </text>
    </comment>
    <comment ref="C16" authorId="0" shapeId="0" xr:uid="{00000000-0006-0000-0600-00000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Лучко инвалид</t>
        </r>
      </text>
    </comment>
    <comment ref="B27" authorId="0" shapeId="0" xr:uid="{00000000-0006-0000-0600-00000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карпович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PEO-4</author>
  </authors>
  <commentList>
    <comment ref="A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Горячев</t>
        </r>
      </text>
    </comment>
    <comment ref="A6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карпович </t>
        </r>
      </text>
    </comment>
    <comment ref="A7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карпович </t>
        </r>
      </text>
    </comment>
    <comment ref="A8" authorId="0" shapeId="0" xr:uid="{00000000-0006-0000-0700-000004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кропа</t>
        </r>
      </text>
    </comment>
    <comment ref="A10" authorId="0" shapeId="0" xr:uid="{00000000-0006-0000-0700-000005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ждонец</t>
        </r>
      </text>
    </comment>
    <comment ref="A22" authorId="0" shapeId="0" xr:uid="{00000000-0006-0000-0700-00000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карпович </t>
        </r>
      </text>
    </comment>
    <comment ref="A25" authorId="0" shapeId="0" xr:uid="{00000000-0006-0000-0700-00000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Волкова</t>
        </r>
      </text>
    </comment>
    <comment ref="A26" authorId="0" shapeId="0" xr:uid="{00000000-0006-0000-0700-000008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Маркевич</t>
        </r>
      </text>
    </comment>
    <comment ref="A30" authorId="0" shapeId="0" xr:uid="{00000000-0006-0000-0700-000009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антонович о и</t>
        </r>
      </text>
    </comment>
    <comment ref="A31" authorId="0" shapeId="0" xr:uid="{00000000-0006-0000-0700-00000A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шапель ю.в. гемодиализ</t>
        </r>
      </text>
    </comment>
    <comment ref="A32" authorId="0" shapeId="0" xr:uid="{00000000-0006-0000-0700-00000B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зайченко опер хир блок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PEO-4</author>
    <author>Admin</author>
    <author>ElenaVl</author>
    <author>Elena</author>
    <author>Елена</author>
  </authors>
  <commentList>
    <comment ref="F12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на эту сумму необходимо уменьшить ФСЗН, т.к. ФСЗН+СТРАВИТА = 34 %</t>
        </r>
      </text>
    </comment>
    <comment ref="F14" authorId="1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среднее соотношение суммы ППС по тарификации (из расчетов ППС АУП и вспом.) 0.187 %</t>
        </r>
      </text>
    </comment>
    <comment ref="F15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на эту сумму необходимо уменьшить ФСЗН, т.к. ФСЗН+СТРАВИТА = 34 %</t>
        </r>
      </text>
    </comment>
    <comment ref="F17" authorId="2" shapeId="0" xr:uid="{00000000-0006-0000-0800-000004000000}">
      <text>
        <r>
          <rPr>
            <b/>
            <sz val="10"/>
            <color indexed="81"/>
            <rFont val="Tahoma"/>
            <family val="2"/>
            <charset val="204"/>
          </rPr>
          <t>Elena: заполняла 
из ст. 10.10.02</t>
        </r>
        <r>
          <rPr>
            <sz val="10"/>
            <color indexed="81"/>
            <rFont val="Tahoma"/>
            <family val="2"/>
            <charset val="204"/>
          </rPr>
          <t xml:space="preserve">
1-10-10-02 (плата за ремонт немед обрудования:
+ Белспецмонтажавтоматика
+Гродноэгерго
+Офистехсервис
+Рембыттехника
+ИП Буряков (ремонт шв. Машин)
+х5 плюс
+Холодильная техника
+Этекпроект
+Элемед
</t>
        </r>
        <r>
          <rPr>
            <b/>
            <sz val="10"/>
            <color indexed="81"/>
            <rFont val="Tahoma"/>
            <family val="2"/>
            <charset val="204"/>
          </rPr>
          <t xml:space="preserve">
1-10-07-04</t>
        </r>
        <r>
          <rPr>
            <sz val="10"/>
            <color indexed="81"/>
            <rFont val="Tahoma"/>
            <family val="2"/>
            <charset val="204"/>
          </rPr>
          <t xml:space="preserve">
+ ОАО Беллифт
+ГП Диэкос
+Гроднолифт
+УЗ "ГККЦ"
+ГУЗ КВД</t>
        </r>
      </text>
    </comment>
    <comment ref="G17" authorId="3" shapeId="0" xr:uid="{00000000-0006-0000-0800-000005000000}">
      <text>
        <r>
          <rPr>
            <b/>
            <sz val="10"/>
            <color indexed="81"/>
            <rFont val="Tahoma"/>
            <family val="2"/>
            <charset val="204"/>
          </rPr>
          <t xml:space="preserve">Elena:
</t>
        </r>
        <r>
          <rPr>
            <sz val="10"/>
            <color indexed="81"/>
            <rFont val="Tahoma"/>
            <family val="2"/>
            <charset val="204"/>
          </rPr>
          <t>обслуживание кас. аппаратов</t>
        </r>
        <r>
          <rPr>
            <b/>
            <sz val="10"/>
            <color indexed="81"/>
            <rFont val="Tahoma"/>
            <family val="2"/>
            <charset val="204"/>
          </rPr>
          <t xml:space="preserve"> </t>
        </r>
        <r>
          <rPr>
            <sz val="10"/>
            <color indexed="81"/>
            <rFont val="Tahoma"/>
            <family val="2"/>
            <charset val="204"/>
          </rPr>
          <t>ГОТЦ "гарант" + Офиссити Плюс, 5+технолоджис
 ст.10-10-02 (Мулица)=1088.64+1058.40</t>
        </r>
      </text>
    </comment>
    <comment ref="G19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ст 10-07-01</t>
        </r>
      </text>
    </comment>
    <comment ref="G20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ст 10-07-03</t>
        </r>
      </text>
    </comment>
    <comment ref="F21" authorId="3" shapeId="0" xr:uid="{00000000-0006-0000-0800-000008000000}">
      <text>
        <r>
          <rPr>
            <b/>
            <sz val="8"/>
            <color indexed="81"/>
            <rFont val="Tahoma"/>
            <family val="2"/>
            <charset val="204"/>
          </rPr>
          <t>Elena: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1</t>
        </r>
        <r>
          <rPr>
            <sz val="12"/>
            <color indexed="81"/>
            <rFont val="Tahoma"/>
            <family val="2"/>
            <charset val="204"/>
          </rPr>
          <t xml:space="preserve">-10-07-04
-охрана
-охран. сигнализ.
-пожарная сигнализация
-гроднолифт
-обслед.вентсист.
-тех.обсл.приб. Учета
</t>
        </r>
      </text>
    </comment>
    <comment ref="G21" authorId="4" shapeId="0" xr:uid="{00000000-0006-0000-0800-000009000000}">
      <text>
        <r>
          <rPr>
            <b/>
            <sz val="8"/>
            <color indexed="81"/>
            <rFont val="Tahoma"/>
            <family val="2"/>
            <charset val="204"/>
          </rPr>
          <t>Елена:</t>
        </r>
        <r>
          <rPr>
            <sz val="8"/>
            <color indexed="81"/>
            <rFont val="Tahoma"/>
            <family val="2"/>
            <charset val="204"/>
          </rPr>
          <t xml:space="preserve">
=10-07-04-</t>
        </r>
      </text>
    </comment>
    <comment ref="F22" authorId="3" shapeId="0" xr:uid="{00000000-0006-0000-08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Elena:
</t>
        </r>
        <r>
          <rPr>
            <b/>
            <sz val="12"/>
            <color indexed="81"/>
            <rFont val="Tahoma"/>
            <family val="2"/>
            <charset val="204"/>
          </rPr>
          <t>200 сч.</t>
        </r>
        <r>
          <rPr>
            <sz val="12"/>
            <color indexed="81"/>
            <rFont val="Tahoma"/>
            <family val="2"/>
            <charset val="204"/>
          </rPr>
          <t xml:space="preserve">
охрана, охранная сигнализация, пожарная сигнализация
противопожарная защита
</t>
        </r>
      </text>
    </comment>
    <comment ref="G22" authorId="4" shapeId="0" xr:uid="{00000000-0006-0000-0800-00000B000000}">
      <text>
        <r>
          <rPr>
            <b/>
            <sz val="12"/>
            <color indexed="81"/>
            <rFont val="Tahoma"/>
            <family val="2"/>
            <charset val="204"/>
          </rPr>
          <t>Елена:</t>
        </r>
        <r>
          <rPr>
            <sz val="12"/>
            <color indexed="81"/>
            <rFont val="Tahoma"/>
            <family val="2"/>
            <charset val="204"/>
          </rPr>
          <t xml:space="preserve">
охрана, охранная сигнализация, пожарная сигнализация
Мулица</t>
        </r>
      </text>
    </comment>
    <comment ref="F29" authorId="0" shapeId="0" xr:uid="{00000000-0006-0000-0800-00000C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мягкий+спецпитание</t>
        </r>
      </text>
    </comment>
    <comment ref="G29" authorId="0" shapeId="0" xr:uid="{00000000-0006-0000-0800-00000D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ст 303 мягкий инвентарь
+ спецпитание</t>
        </r>
      </text>
    </comment>
    <comment ref="F30" authorId="2" shapeId="0" xr:uid="{00000000-0006-0000-0800-00000E000000}">
      <text>
        <r>
          <rPr>
            <b/>
            <sz val="8"/>
            <color indexed="81"/>
            <rFont val="Tahoma"/>
            <family val="2"/>
            <charset val="204"/>
          </rPr>
          <t xml:space="preserve">ElenaVl: 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1-10-10-02  минус плата за ремонт не мед оборуд данные бух</t>
        </r>
      </text>
    </comment>
    <comment ref="G30" authorId="3" shapeId="0" xr:uid="{00000000-0006-0000-0800-00000F000000}">
      <text>
        <r>
          <rPr>
            <b/>
            <sz val="12"/>
            <color indexed="81"/>
            <rFont val="Tahoma"/>
            <family val="2"/>
            <charset val="204"/>
          </rPr>
          <t>Elena:
10-10-02</t>
        </r>
        <r>
          <rPr>
            <sz val="12"/>
            <color indexed="81"/>
            <rFont val="Tahoma"/>
            <family val="2"/>
            <charset val="204"/>
          </rPr>
          <t xml:space="preserve">
за минусом обслуживание кассовых аппаратов, а остальное восстановление от платных медуслуг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минус немед оборудование</t>
        </r>
      </text>
    </comment>
    <comment ref="F31" authorId="2" shapeId="0" xr:uid="{00000000-0006-0000-0800-000010000000}">
      <text>
        <r>
          <rPr>
            <b/>
            <sz val="10"/>
            <color indexed="81"/>
            <rFont val="Tahoma"/>
            <family val="2"/>
            <charset val="204"/>
          </rPr>
          <t>Elena: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1-10-07-04
Плата за ремонти технич. Обслуживание сантехнического оборудования, в т.ч.
ОАО Чайка (гидравлическое испытание системы трубопровода)</t>
        </r>
      </text>
    </comment>
    <comment ref="G32" authorId="0" shapeId="0" xr:uid="{00000000-0006-0000-0800-00001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10-10-03
</t>
        </r>
      </text>
    </comment>
    <comment ref="G33" authorId="0" shapeId="0" xr:uid="{00000000-0006-0000-0800-00001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10.04.00</t>
        </r>
      </text>
    </comment>
    <comment ref="G34" authorId="0" shapeId="0" xr:uid="{00000000-0006-0000-0800-00001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10.05.00</t>
        </r>
      </text>
    </comment>
    <comment ref="E35" authorId="3" shapeId="0" xr:uid="{00000000-0006-0000-0800-000014000000}">
      <text>
        <r>
          <rPr>
            <b/>
            <sz val="8"/>
            <color indexed="81"/>
            <rFont val="Tahoma"/>
            <family val="2"/>
            <charset val="204"/>
          </rPr>
          <t>Elena:</t>
        </r>
        <r>
          <rPr>
            <sz val="8"/>
            <color indexed="81"/>
            <rFont val="Tahoma"/>
            <family val="2"/>
            <charset val="204"/>
          </rPr>
          <t xml:space="preserve">
10-10-08 прочие текущие расходы,
30-03-00 выплаты пенсий и пособий,текущие трансферты населению,
10-03-03 мягкий инвентарь,
10-03-04-4 расходы на спецпитание
</t>
        </r>
      </text>
    </comment>
    <comment ref="F35" authorId="3" shapeId="0" xr:uid="{00000000-0006-0000-0800-000015000000}">
      <text>
        <r>
          <rPr>
            <b/>
            <sz val="8"/>
            <color indexed="81"/>
            <rFont val="Tahoma"/>
            <family val="2"/>
            <charset val="204"/>
          </rPr>
          <t xml:space="preserve">Elena:
</t>
        </r>
        <r>
          <rPr>
            <b/>
            <sz val="12"/>
            <color indexed="81"/>
            <rFont val="Tahoma"/>
            <family val="2"/>
            <charset val="204"/>
          </rPr>
          <t>сумма: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 
10-10-08 прочие текущие расходы
30-03-00 выплаты пенсий и пособий,текущие трансферты населению,
минус одноразовок белье из 200 сч.???,т.к. входят средства индивидуальной защиты - это основная сумма, не отнимаем </t>
        </r>
      </text>
    </comment>
    <comment ref="G35" authorId="3" shapeId="0" xr:uid="{00000000-0006-0000-0800-000016000000}">
      <text>
        <r>
          <rPr>
            <b/>
            <sz val="10"/>
            <color indexed="81"/>
            <rFont val="Tahoma"/>
            <family val="2"/>
            <charset val="204"/>
          </rPr>
          <t xml:space="preserve">Elena:
сумма:
</t>
        </r>
        <r>
          <rPr>
            <sz val="10"/>
            <color indexed="81"/>
            <rFont val="Tahoma"/>
            <family val="2"/>
            <charset val="204"/>
          </rPr>
          <t xml:space="preserve">
10-10-08 прочие текущие расходы </t>
        </r>
        <r>
          <rPr>
            <b/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 xml:space="preserve">10-03-04-4 расходы на спецпитание 
+ чайка </t>
        </r>
        <r>
          <rPr>
            <b/>
            <sz val="10"/>
            <color indexed="81"/>
            <rFont val="Tahoma"/>
            <family val="2"/>
            <charset val="204"/>
          </rPr>
          <t xml:space="preserve"> 
+</t>
        </r>
        <r>
          <rPr>
            <sz val="10"/>
            <color indexed="81"/>
            <rFont val="Tahoma"/>
            <family val="2"/>
            <charset val="204"/>
          </rPr>
          <t xml:space="preserve"> программное обеспечение 
+ информ изд центр по налогам и сборам
30-03-00 выплаты пенсий и пособий,текущие трансферты населению,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H35" authorId="3" shapeId="0" xr:uid="{00000000-0006-0000-0800-000017000000}">
      <text>
        <r>
          <rPr>
            <b/>
            <sz val="8"/>
            <color indexed="81"/>
            <rFont val="Tahoma"/>
            <family val="2"/>
            <charset val="204"/>
          </rPr>
          <t>Elena:</t>
        </r>
        <r>
          <rPr>
            <sz val="8"/>
            <color indexed="81"/>
            <rFont val="Tahoma"/>
            <family val="2"/>
            <charset val="204"/>
          </rPr>
          <t xml:space="preserve">
10-10-08 прочие текущие расходы,
30-03-00 выплаты пенсий и пособий,текущие трансферты населению,
10-03-03 мягкий инвентарь,
10-03-04-4 расходы на спецпитание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PEO-4</author>
  </authors>
  <commentList>
    <comment ref="G18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включаем все, что считаем в калькуляции</t>
        </r>
      </text>
    </comment>
    <comment ref="G45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2023 год</t>
        </r>
      </text>
    </comment>
    <comment ref="H45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04"/>
          </rPr>
          <t>PEO-4:</t>
        </r>
        <r>
          <rPr>
            <sz val="9"/>
            <color indexed="81"/>
            <rFont val="Tahoma"/>
            <family val="2"/>
            <charset val="204"/>
          </rPr>
          <t xml:space="preserve">
2022 год</t>
        </r>
      </text>
    </comment>
  </commentList>
</comments>
</file>

<file path=xl/sharedStrings.xml><?xml version="1.0" encoding="utf-8"?>
<sst xmlns="http://schemas.openxmlformats.org/spreadsheetml/2006/main" count="797" uniqueCount="423">
  <si>
    <t>№ п/п</t>
  </si>
  <si>
    <t>1.</t>
  </si>
  <si>
    <t>2.</t>
  </si>
  <si>
    <t>3.</t>
  </si>
  <si>
    <t>4.</t>
  </si>
  <si>
    <t>15.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</si>
  <si>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</si>
  <si>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</si>
  <si>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</si>
  <si>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</si>
  <si>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</si>
  <si>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</si>
  <si>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</si>
  <si>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</si>
  <si>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</si>
  <si>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</si>
  <si>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</si>
  <si>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</si>
  <si>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</si>
  <si>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</si>
  <si>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</si>
  <si>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Премия</t>
  </si>
  <si>
    <t>Главный бухгалтер</t>
  </si>
  <si>
    <t>Должность специалиста, оказывающего платную медицинскую услугу</t>
  </si>
  <si>
    <t>Выплаты стимулирующего и компенсирующего характера в соответствии с законодательством</t>
  </si>
  <si>
    <t>Экономист</t>
  </si>
  <si>
    <t>Заработная плата в месяц (руб.), в том числе</t>
  </si>
  <si>
    <t>Врач-хирург</t>
  </si>
  <si>
    <t>Медицинская сестра операционная</t>
  </si>
  <si>
    <t>3</t>
  </si>
  <si>
    <t>4</t>
  </si>
  <si>
    <t>-</t>
  </si>
  <si>
    <t>Н.Н. Русина</t>
  </si>
  <si>
    <t>Ю.В. Шатрова</t>
  </si>
  <si>
    <t>Е.И. Антоник</t>
  </si>
  <si>
    <t>5</t>
  </si>
  <si>
    <t>6</t>
  </si>
  <si>
    <t>Материальная помощь</t>
  </si>
  <si>
    <t>7</t>
  </si>
  <si>
    <t>Начальник ПЭО</t>
  </si>
  <si>
    <t>Врач-торакальный хирург</t>
  </si>
  <si>
    <t>УТВЕРЖДАЮ
Главный врач
учреждения здравоохранения
«Гродненская 
университетская клиника»</t>
  </si>
  <si>
    <t>С.Н. Лазаревич</t>
  </si>
  <si>
    <t>Базовая ставка</t>
  </si>
  <si>
    <t>Заработ
ная плата за одну минуту (руб.)</t>
  </si>
  <si>
    <t>Оклад,
 руб.</t>
  </si>
  <si>
    <t>Единовремен
ные выплаты на оздоровление</t>
  </si>
  <si>
    <t>Материальная помощь и единовремен
ные выплаты на оздоровление</t>
  </si>
  <si>
    <t>в связи с заключением контракта</t>
  </si>
  <si>
    <t>за стаж</t>
  </si>
  <si>
    <t>за специфику работы (категория)</t>
  </si>
  <si>
    <t>Медицинским работникам за мед. помощь в амбулаторных цсловиях</t>
  </si>
  <si>
    <t>За сложность и напряженность</t>
  </si>
  <si>
    <t>за особый характер труда</t>
  </si>
  <si>
    <t>%</t>
  </si>
  <si>
    <t>сумма</t>
  </si>
  <si>
    <t>сумма от БС</t>
  </si>
  <si>
    <t>уд. вес надбавок за сложность и напряженность работы,%</t>
  </si>
  <si>
    <t>из расчета 0,5 оклада на год</t>
  </si>
  <si>
    <t>из расчета 0,3 оклада на год</t>
  </si>
  <si>
    <t>из расчета 0,8 оклада на год</t>
  </si>
  <si>
    <t>от оклада</t>
  </si>
  <si>
    <t>от БВ</t>
  </si>
  <si>
    <t>кропа</t>
  </si>
  <si>
    <t>Медицинским работникам за работу в сфере здравоохранения (пост.57)</t>
  </si>
  <si>
    <t>надб. за специфику работы (врачам хирург. профиля) (п.4.5 пост.52)</t>
  </si>
  <si>
    <t>20%</t>
  </si>
  <si>
    <t>%  с 01.01.2023</t>
  </si>
  <si>
    <t xml:space="preserve">УТВЕРЖДАЮ
Главный врач
учреждения здравоохранения
«Гродненская
университетская клиника»
</t>
  </si>
  <si>
    <t>№
п/п</t>
  </si>
  <si>
    <t>Наименование статей затрат</t>
  </si>
  <si>
    <t>Всего расходов
(руб.)</t>
  </si>
  <si>
    <t>Дополнительная оплата замещающим уходящих в отпуск работников (на курсы повышения квалификации, переподготовку работников и др.)</t>
  </si>
  <si>
    <t>Замещающим уходящих в отпуск</t>
  </si>
  <si>
    <t>Замещ. на вр.своб.дня матерям</t>
  </si>
  <si>
    <t>Замещ. на время специализ./команд</t>
  </si>
  <si>
    <t>в том числе</t>
  </si>
  <si>
    <t>1.1.</t>
  </si>
  <si>
    <t>1.2.</t>
  </si>
  <si>
    <t>1.3.</t>
  </si>
  <si>
    <t>1.4.</t>
  </si>
  <si>
    <t>Компенсация за неиспользованный отпуск</t>
  </si>
  <si>
    <t>Основная заработная плата основного персонала
(с учетом выплат стимулирующего и компенсирующего характера, а также премии)</t>
  </si>
  <si>
    <t>За квалификационные категории</t>
  </si>
  <si>
    <t>За высокие творческие …</t>
  </si>
  <si>
    <t>За работу в праздничные дни</t>
  </si>
  <si>
    <t>За работу в ночное время</t>
  </si>
  <si>
    <t>За работу с неблагопр.услов.труда</t>
  </si>
  <si>
    <t>За ученые звания и степени</t>
  </si>
  <si>
    <t>Премии</t>
  </si>
  <si>
    <t>2.1.</t>
  </si>
  <si>
    <t>2.2.</t>
  </si>
  <si>
    <t>2.3.</t>
  </si>
  <si>
    <t>2.4.</t>
  </si>
  <si>
    <t>2.5.</t>
  </si>
  <si>
    <t>2.6.</t>
  </si>
  <si>
    <t>2.7.</t>
  </si>
  <si>
    <t>2.9.</t>
  </si>
  <si>
    <t>2.10.</t>
  </si>
  <si>
    <t>2.11.</t>
  </si>
  <si>
    <t>2.12.</t>
  </si>
  <si>
    <t>2.13.</t>
  </si>
  <si>
    <t>Базовые доплаты</t>
  </si>
  <si>
    <t>Сдельный заработок свыше нормы</t>
  </si>
  <si>
    <t>Уровень дополнительной зарплаты
(стр.1/стр.2 х 100)</t>
  </si>
  <si>
    <t>Не включаем в НР, (т.к., например," молодые специалисты" никакого отношения к платным у слугам не имеют и т.д.). Если все эти статьи включать в НР, то мы увеличим стоимость НР, и  тем самым зависим цену услуги, а мы не хотим завышать цену услуги))))</t>
  </si>
  <si>
    <t>БЮДЖЕТ
з/пл = б-т+внеб-т</t>
  </si>
  <si>
    <t>ф.4</t>
  </si>
  <si>
    <t>СЧЕТ 176</t>
  </si>
  <si>
    <t>Уд.вес
2023 г.</t>
  </si>
  <si>
    <t>Заработная плата управленческого и вспомогательного персонала</t>
  </si>
  <si>
    <t>Начисления на заработную плату (к пункту 1):</t>
  </si>
  <si>
    <t>отчисления в фонд социальной защиты населения Министерства труда и социальной защиты Республики Беларусь, 34.0%
страховые взносы по договору дополнительного накопительного пенсионного страхования, уплачиваемому за счет стредств работодателя</t>
  </si>
  <si>
    <t>страховой взнос по обязательному страхованию от несчастных случаев на производстве и профессиональных заболеваний,  0,1 %</t>
  </si>
  <si>
    <t>обязательные страховые взносы
на профессиональное пенсионное страхование</t>
  </si>
  <si>
    <t>Аренда зданий, сооружений и оборудования</t>
  </si>
  <si>
    <t>Эксплуатационные расходы по содержанию зданий, сооружений, оборудования и т.п.</t>
  </si>
  <si>
    <t>10-02+</t>
  </si>
  <si>
    <t>Оплата коммунальных услуг, в том числе:</t>
  </si>
  <si>
    <t>5.1.</t>
  </si>
  <si>
    <t>за потребление тепловой энергии</t>
  </si>
  <si>
    <t>5.2.</t>
  </si>
  <si>
    <t>за потребление электрической энергии</t>
  </si>
  <si>
    <t>5.3.</t>
  </si>
  <si>
    <t>прочие коммунальные расходы</t>
  </si>
  <si>
    <t>Плата сторонним организациям за обеспечение противопожарной и сторожевой охраны</t>
  </si>
  <si>
    <t>Оплата услуг связи</t>
  </si>
  <si>
    <t>Плата за кредиты и услуги банка</t>
  </si>
  <si>
    <t>Амортизация, в том числе:</t>
  </si>
  <si>
    <t>9.1.</t>
  </si>
  <si>
    <t>зданий и сооружений</t>
  </si>
  <si>
    <t>9.2.</t>
  </si>
  <si>
    <t>основных средств общего пользования (силовые средства, вычислительная техника, транспортные средства и др.)</t>
  </si>
  <si>
    <t>Оплата консультативных и информационных услуг</t>
  </si>
  <si>
    <t>Плата за ремонт и техническое обслуживание медицинского оборудования</t>
  </si>
  <si>
    <t>10-02-</t>
  </si>
  <si>
    <t>Плата за ремонт и техническое обслуживание сантехнического оборудования</t>
  </si>
  <si>
    <t>Оплата текущего ремонта зданий, сооружений</t>
  </si>
  <si>
    <t>Командировочные расходы</t>
  </si>
  <si>
    <t>Транспортные расходы</t>
  </si>
  <si>
    <t>Прочие расходы</t>
  </si>
  <si>
    <t>Итого</t>
  </si>
  <si>
    <t>Процент накладных расходов
(стр.18/стр.19 х 100)</t>
  </si>
  <si>
    <t>ф. 2 бюджет</t>
  </si>
  <si>
    <t>ф. 4 внебюджет  2021</t>
  </si>
  <si>
    <t>разница</t>
  </si>
  <si>
    <t>Дайнович</t>
  </si>
  <si>
    <t>С.Н. Лазаревич
«___»_____________ 2024</t>
  </si>
  <si>
    <t>«___»____________ 2024 год</t>
  </si>
  <si>
    <t>РАСЧЕТ
ПРОЦЕНТА НАКЛАДНЫХ РАСХОДОВ
за 2023 год</t>
  </si>
  <si>
    <t>Уд.вес
2024 г.</t>
  </si>
  <si>
    <t>2022.год</t>
  </si>
  <si>
    <t>страховые взносы по догвору дополнительного накопительного пенсионного страхования, уплачиваемому за счет стредств работодателя</t>
  </si>
  <si>
    <t>Приобретение предметов снабжения и расходных материалов</t>
  </si>
  <si>
    <t>«___»____________ 2024</t>
  </si>
  <si>
    <t>РАСЧЕТ
УРОВНЯ ДОПОЛНИТЕЛЬНОЙ ЗАРПЛАТЫ
ОСНОВНОГО ПЕРСОНАЛА ЗА 2023 год</t>
  </si>
  <si>
    <t>за специфику работы (за дежурства на дому)</t>
  </si>
  <si>
    <t>молодым специалистам</t>
  </si>
  <si>
    <t>прочие надбавки (по параграфу 626 за работу в сфере здравоохранения )</t>
  </si>
  <si>
    <t>сорока охпгт</t>
  </si>
  <si>
    <t>карпович</t>
  </si>
  <si>
    <t>Врач-ангиохирург</t>
  </si>
  <si>
    <t xml:space="preserve">горячев </t>
  </si>
  <si>
    <t>Карпович</t>
  </si>
  <si>
    <t>Кропа</t>
  </si>
  <si>
    <t>ИТОГО:</t>
  </si>
  <si>
    <t>Количество обучающихся</t>
  </si>
  <si>
    <t>Заместитель главного врча</t>
  </si>
  <si>
    <t>С.В. Анацко</t>
  </si>
  <si>
    <t>Врач-методист
(заведующий поликлиникой)</t>
  </si>
  <si>
    <t>Н.М. Крутенко</t>
  </si>
  <si>
    <t>№</t>
  </si>
  <si>
    <t>п/п</t>
  </si>
  <si>
    <t>Наименование платной медицинской услуги</t>
  </si>
  <si>
    <t>Специалист, оказывающий платную медицинскую услугу</t>
  </si>
  <si>
    <t>Норма времени на проведение платной медицинской услуги (мин)</t>
  </si>
  <si>
    <t>Размер заработной платы специалиста за одну минуту, бел. руб.</t>
  </si>
  <si>
    <t>Основная заработная плата специалиста, итого</t>
  </si>
  <si>
    <t>(графа 4 х</t>
  </si>
  <si>
    <t>графа 5), бел. руб.</t>
  </si>
  <si>
    <t>Дополнительная заработная плата (графа 6 х %), бел. руб.</t>
  </si>
  <si>
    <t>Начисления на оплату труда (графа 9 + графа 10 + графа 11), бел. руб.</t>
  </si>
  <si>
    <t>Обязательные страховые взносы в бюджет государственного внебюджетного фонда социальной защиты населения Республики Беларусь, бел. руб.</t>
  </si>
  <si>
    <t>Страховые взносы по обязательному страхованию от несчастных случаев на производстве и профессиональ-</t>
  </si>
  <si>
    <t>ных заболеваний, бел. руб.</t>
  </si>
  <si>
    <t>Взносы на профес-</t>
  </si>
  <si>
    <t>сиональное пенсионное страхование, бел. руб.</t>
  </si>
  <si>
    <t>Накладные расходы</t>
  </si>
  <si>
    <t>(графа 6 + графа 7) х %, рассчитанный в прило-</t>
  </si>
  <si>
    <t>жении 6), бел. руб.</t>
  </si>
  <si>
    <t>Амортизация медицинского оборудования (в случае невключения в состав накладных расходов)</t>
  </si>
  <si>
    <t>Себестоимость платной медицинской услуги</t>
  </si>
  <si>
    <t>(графа 6 +</t>
  </si>
  <si>
    <t>графа 7 +</t>
  </si>
  <si>
    <t>графа 8 +</t>
  </si>
  <si>
    <t>графа 12 +</t>
  </si>
  <si>
    <t>графа 13),</t>
  </si>
  <si>
    <t>бел. руб.</t>
  </si>
  <si>
    <t>Рентабель-</t>
  </si>
  <si>
    <t>ность, %</t>
  </si>
  <si>
    <t>Прибыль, (графа 14 х графа 15), бел. руб.</t>
  </si>
  <si>
    <t>Итого тариф (графа 14 + графа 16), бел. руб.</t>
  </si>
  <si>
    <t>Тариф с учетом округ-</t>
  </si>
  <si>
    <t>ления, бел. руб.</t>
  </si>
  <si>
    <t>Должность служащего специалиста, оказывающего платную медицинскую услугу</t>
  </si>
  <si>
    <r>
      <rPr>
        <sz val="10"/>
        <rFont val="Times New Roman"/>
        <family val="1"/>
        <charset val="204"/>
      </rPr>
      <t>Продолжительность трудового отпуска (основного
и дополнительного), дней</t>
    </r>
  </si>
  <si>
    <t>Количество дней в году (без учета государственных праздников и праздничных дней, установленных
и объявленных нерабочими)</t>
  </si>
  <si>
    <t>Хирургический профидль:</t>
  </si>
  <si>
    <t>Горячев П.А.</t>
  </si>
  <si>
    <t>Карпович В.Е.</t>
  </si>
  <si>
    <t>Сорока О.С.</t>
  </si>
  <si>
    <t>Дайнович В.А.</t>
  </si>
  <si>
    <t>Врач-уролог</t>
  </si>
  <si>
    <t>Василевич Д. М.</t>
  </si>
  <si>
    <t>Терапевтический профиль:</t>
  </si>
  <si>
    <t>Врач-пульмонолог</t>
  </si>
  <si>
    <t>Кулага Е.Я.</t>
  </si>
  <si>
    <t>Врач-аллерголог</t>
  </si>
  <si>
    <t>Котова Е.В.</t>
  </si>
  <si>
    <t>Врач-эндокринолог</t>
  </si>
  <si>
    <t>Мартинкевич О.Н./
Петрикевич О.Н.</t>
  </si>
  <si>
    <t>Врач-невролог</t>
  </si>
  <si>
    <t>Хоперский П.Г.</t>
  </si>
  <si>
    <t>Онкологический профиль:</t>
  </si>
  <si>
    <t>Врач-онколог-хирург</t>
  </si>
  <si>
    <t>Кожан Т.В.</t>
  </si>
  <si>
    <t>Камарец С.М.</t>
  </si>
  <si>
    <t>Гарелик Т.М.</t>
  </si>
  <si>
    <t>Врач-онколог</t>
  </si>
  <si>
    <t>Савко Л.Л.</t>
  </si>
  <si>
    <t>Оториноларингологический профиль:</t>
  </si>
  <si>
    <t>Врач-оториноларинголог</t>
  </si>
  <si>
    <t>Пласвский</t>
  </si>
  <si>
    <t>Офтальмологический профиль:</t>
  </si>
  <si>
    <t>Ворач-офтальмолог</t>
  </si>
  <si>
    <t>Логош С.М.</t>
  </si>
  <si>
    <t>Профиль анестезиологии и реаниматологии:</t>
  </si>
  <si>
    <t>Максименко А.В. (гемодиализ)</t>
  </si>
  <si>
    <t>Врач-анестезиолог-реаниматолог</t>
  </si>
  <si>
    <t>Выдра И.Т.</t>
  </si>
  <si>
    <t>Диагностический профиль:</t>
  </si>
  <si>
    <t>Врач лучевой диагностики</t>
  </si>
  <si>
    <t>Гавина Н.Л.</t>
  </si>
  <si>
    <t>Врач-рентгенолог</t>
  </si>
  <si>
    <t>Волкова Е.Т.</t>
  </si>
  <si>
    <t>Маркевич Н.Б.</t>
  </si>
  <si>
    <t>Врач функциональной диагностики</t>
  </si>
  <si>
    <t>Зданчук Г.А.</t>
  </si>
  <si>
    <t>Врач ультразвуковой диагностики</t>
  </si>
  <si>
    <t>Гаврон И.В.</t>
  </si>
  <si>
    <t>Для специалистов со средним специальным медицинским образованием:</t>
  </si>
  <si>
    <t>Главная медицинская сетра</t>
  </si>
  <si>
    <t>Вискуб Ю.В.</t>
  </si>
  <si>
    <t>Медицинская сестра-анестезист</t>
  </si>
  <si>
    <t>Лысуха Л.Н.</t>
  </si>
  <si>
    <t>Медицинская сестра</t>
  </si>
  <si>
    <t>Антонович О.И.</t>
  </si>
  <si>
    <t>Шапель Ю.В.</t>
  </si>
  <si>
    <t>Зайченко Т.О.</t>
  </si>
  <si>
    <t>Количество рабочих часов на 1,0 ставки в месяц, ч (среднее)</t>
  </si>
  <si>
    <t>Заработная плата на 1,0 ставки в месяц,
бел. руб.</t>
  </si>
  <si>
    <t>Основная заработная плата за одну минуту
(графа 4 / графа 3 / 60)</t>
  </si>
  <si>
    <t xml:space="preserve">Врач-хирург
</t>
  </si>
  <si>
    <t xml:space="preserve">Врач-уролог
</t>
  </si>
  <si>
    <t>Василевич урол отд</t>
  </si>
  <si>
    <t>Хирургический профиль</t>
  </si>
  <si>
    <t>Терапевтический профиль</t>
  </si>
  <si>
    <t>Кулага пульм отд</t>
  </si>
  <si>
    <t>Котова аллерг</t>
  </si>
  <si>
    <t>Мартинкевич</t>
  </si>
  <si>
    <t>Хоперский</t>
  </si>
  <si>
    <t>Онкологический профиль</t>
  </si>
  <si>
    <t xml:space="preserve">Врач-онколог-хирург
</t>
  </si>
  <si>
    <t>Кожан онко-1</t>
  </si>
  <si>
    <t>Камарец онко-5</t>
  </si>
  <si>
    <t>Гарелик онко-3</t>
  </si>
  <si>
    <t xml:space="preserve">Врач-онколог
</t>
  </si>
  <si>
    <t>Савко одо</t>
  </si>
  <si>
    <t>Оториноларингологический профиль</t>
  </si>
  <si>
    <t xml:space="preserve">Врач-оториноларинголог
</t>
  </si>
  <si>
    <t>Плавский</t>
  </si>
  <si>
    <t>Офтальмологический профиль</t>
  </si>
  <si>
    <t>Врач-офтальмолог</t>
  </si>
  <si>
    <t>Профиль анестезии и реанимации</t>
  </si>
  <si>
    <t>Максименко гемодиализ</t>
  </si>
  <si>
    <t>Выдра оар 1</t>
  </si>
  <si>
    <t>Диагностический профиль</t>
  </si>
  <si>
    <t>Гавина</t>
  </si>
  <si>
    <t>Волкова</t>
  </si>
  <si>
    <t>Врач-функциональной диагностики</t>
  </si>
  <si>
    <t>Маркевич</t>
  </si>
  <si>
    <t>Зданчук</t>
  </si>
  <si>
    <t>Врач-ультразвуковой диагностики</t>
  </si>
  <si>
    <t>Для специалистов со средним специальным медицинским образованием</t>
  </si>
  <si>
    <t>Лысуха Л.Н. оар 1</t>
  </si>
  <si>
    <t>антонович</t>
  </si>
  <si>
    <t>шапель ю.в.</t>
  </si>
  <si>
    <t>Зайченко опер хир блок</t>
  </si>
  <si>
    <t>Норма времени на проведение платной медицинской услуги (мин)</t>
  </si>
  <si>
    <t>Размер заработной платы специалиста за одну минуту, бел. руб.</t>
  </si>
  <si>
    <r>
      <rPr>
        <sz val="10"/>
        <rFont val="Times New Roman"/>
        <family val="1"/>
        <charset val="204"/>
      </rPr>
      <t>Основная заработная плата специалиста, итого
(графа 4 х
графа 5), бел. руб.</t>
    </r>
  </si>
  <si>
    <r>
      <rPr>
        <sz val="10"/>
        <rFont val="Times New Roman"/>
        <family val="1"/>
        <charset val="204"/>
      </rPr>
      <t>Дополнительная заработная плата
(графа 6 х %), бел. руб.</t>
    </r>
  </si>
  <si>
    <r>
      <rPr>
        <sz val="10"/>
        <rFont val="Times New Roman"/>
        <family val="1"/>
        <charset val="204"/>
      </rPr>
      <t>Начисления на оплату труда (графа 9 +
графа 10 +
графа 11), бел. руб.</t>
    </r>
  </si>
  <si>
    <t>Обязательные страховые взносы в бюджет государственного внебюджетного фонда социальной защиты населения Республики Беларусь, бел. руб.</t>
  </si>
  <si>
    <r>
      <rPr>
        <sz val="10"/>
        <rFont val="Times New Roman"/>
        <family val="1"/>
        <charset val="204"/>
      </rPr>
      <t>Взносы на профес- сиональное пенсионное страхование,
бел. руб.</t>
    </r>
  </si>
  <si>
    <t>Накладные расходы (графа 6 + графа 7) х %, рассчитанный в прило- жении 6),  бел. руб.</t>
  </si>
  <si>
    <t>Амортизация медицинского оборудования (в случае невключения в состав накладных расходов)</t>
  </si>
  <si>
    <r>
      <rPr>
        <sz val="10"/>
        <rFont val="Times New Roman"/>
        <family val="1"/>
        <charset val="204"/>
      </rPr>
      <t>Себестоимость платной медицинской услуги
(графа 6 +
графа 7 +
графа 8 +
графа 12 +
графа 13), бел. руб.</t>
    </r>
  </si>
  <si>
    <t>Рентабель- ность, %</t>
  </si>
  <si>
    <r>
      <rPr>
        <sz val="10"/>
        <rFont val="Times New Roman"/>
        <family val="1"/>
        <charset val="204"/>
      </rPr>
      <t>Прибыль, (графа 14 х
графа 15), бел. руб.</t>
    </r>
  </si>
  <si>
    <r>
      <rPr>
        <sz val="10"/>
        <rFont val="Times New Roman"/>
        <family val="1"/>
        <charset val="204"/>
      </rPr>
      <t>Итого тариф (графа 14 +
графа 16), бел. руб.</t>
    </r>
  </si>
  <si>
    <t>Современная флебология</t>
  </si>
  <si>
    <t>врач-ангиохирург</t>
  </si>
  <si>
    <t>Горячев</t>
  </si>
  <si>
    <t>Размер дополнительной заработной платы
(графа 2 / графа 3 х 100 %), %</t>
  </si>
  <si>
    <t>Реконструктивная хирургия острой и хронической артериальной недостаточности конечностей</t>
  </si>
  <si>
    <r>
      <rPr>
        <sz val="10"/>
        <rFont val="Times New Roman"/>
        <family val="1"/>
      </rPr>
      <t>Наименование должности служащего специалиста, оказывающего платную медицинскую услугу</t>
    </r>
  </si>
  <si>
    <r>
      <rPr>
        <sz val="10"/>
        <rFont val="Times New Roman"/>
        <family val="1"/>
      </rPr>
      <t>Размер обязательных страховых взносов в бюджет государственного внебюджетного фонда социальной защиты населения Республики Беларусь, %</t>
    </r>
  </si>
  <si>
    <r>
      <rPr>
        <sz val="10"/>
        <rFont val="Times New Roman"/>
        <family val="1"/>
      </rPr>
      <t>Размер страховых взносов по обязательному страхованию от несчастных случаев на производстве и профессиональных заболеваний, %</t>
    </r>
  </si>
  <si>
    <r>
      <rPr>
        <sz val="10"/>
        <rFont val="Times New Roman"/>
        <family val="1"/>
      </rPr>
      <t xml:space="preserve">Размер взносов
</t>
    </r>
    <r>
      <rPr>
        <sz val="10"/>
        <rFont val="Times New Roman"/>
        <family val="1"/>
      </rPr>
      <t>на профессиональное пенсионное страхование, %</t>
    </r>
  </si>
  <si>
    <t>врач-хирург</t>
  </si>
  <si>
    <t xml:space="preserve">Современные подходы в лечении вентральных грыж </t>
  </si>
  <si>
    <t>Лапароскопия в абдоминальной хирургии</t>
  </si>
  <si>
    <t>Сорока</t>
  </si>
  <si>
    <t>Хирургия хронического панкреатита</t>
  </si>
  <si>
    <t>Частные вопросы колопроктологии</t>
  </si>
  <si>
    <t>Неотложные состояния в урологии. Этиопатогенез. Диагностика. Лечение.</t>
  </si>
  <si>
    <t>Василевич</t>
  </si>
  <si>
    <t>Тариф с учетом округ- ления, с учетом/без учета /НДС,
 бел. руб.</t>
  </si>
  <si>
    <t>ИТОГО хирургический профиль:</t>
  </si>
  <si>
    <t>Дифференциальная диагностика бронхообструктивного синдрома</t>
  </si>
  <si>
    <t>Кулага</t>
  </si>
  <si>
    <t>Котова</t>
  </si>
  <si>
    <t>Суточное мониторирование уровня глюкозы и помповая инсулинотерапия</t>
  </si>
  <si>
    <t>Петрикевич</t>
  </si>
  <si>
    <t>врач-невролог</t>
  </si>
  <si>
    <t>Реперфузионная терапия при ишемическом инсульте (для врачей-неврологов)</t>
  </si>
  <si>
    <t>Иммуномодулирующая терапия при рассеянном склерозе (для врачей-неврологов)</t>
  </si>
  <si>
    <t>Коматозные состояния: дифференциальная диагностика и лечебная тактика.</t>
  </si>
  <si>
    <t>ИТОГО терапевтический профиль:</t>
  </si>
  <si>
    <t>Принципы диагностики злокачественных новообразований основных локализаций для врачей-онкологов</t>
  </si>
  <si>
    <t xml:space="preserve">Принципы диагностики злокачественных новообразований основных локализаций для врачей-хирургов </t>
  </si>
  <si>
    <t>Обще принципы диагностики опухолей головы и шеи (для врачей общей практики)</t>
  </si>
  <si>
    <t>ИТОГО онкологический профиль:</t>
  </si>
  <si>
    <t>ИТОГО оториноларингологический профиль:</t>
  </si>
  <si>
    <t>Патологии слёзных путей у взрослых и детей</t>
  </si>
  <si>
    <t>ИТОГО офтальмологический профиль:</t>
  </si>
  <si>
    <t>Максименко</t>
  </si>
  <si>
    <t>Методы экстракорпорального очищения крови в интенсивной терапии</t>
  </si>
  <si>
    <t>Клинические аспекты нарушений гемостаза в интенсивной терапии</t>
  </si>
  <si>
    <t>УЗИ в анестезиологии и интенсивной терапии</t>
  </si>
  <si>
    <t>Регионарные блокады в анестезиологии</t>
  </si>
  <si>
    <t>Освоение техники сложной интубации и интубации при помощи видеоэндоскопической техники</t>
  </si>
  <si>
    <t>ИТОГО профиль анестезиологии и реаниматологии:</t>
  </si>
  <si>
    <t>МРТ острого нарушения мозгового кровообращения и онкологических заболеваний</t>
  </si>
  <si>
    <t>МРТ диагностика онкологических заболеваний органов малого таза</t>
  </si>
  <si>
    <t>МРТ диагностика костно-суставной системы (для врачей лучевой диагностики)</t>
  </si>
  <si>
    <t>Принципы КТ диагностики онкологических заболеваний</t>
  </si>
  <si>
    <t>Ранняя рентгенологическая диагностика онкологических заболеваний</t>
  </si>
  <si>
    <t xml:space="preserve">Маммография </t>
  </si>
  <si>
    <t>Методы функциональной диагностики заболеваний сердечно-сосудистой системы для врачей общей практики, врачей-терапевтов и врачей-кардиологов</t>
  </si>
  <si>
    <t>Методы функциональной диагностики заболеваний сердечно-сосудистой системы для врачей функциональной диагностики</t>
  </si>
  <si>
    <t>Ультразвуковая диагностика заболеваний брахиоцефальных артерий</t>
  </si>
  <si>
    <t>Ультразвуковая диагностика заболеваний вен нижних конечностей</t>
  </si>
  <si>
    <t>Ультразвуковая диагностика заболеваний молочной железы</t>
  </si>
  <si>
    <t>Гаврон</t>
  </si>
  <si>
    <t>ИТОГО диагностический профиль:</t>
  </si>
  <si>
    <t>Актуальные вопросы инфекционного контроля в стационаре</t>
  </si>
  <si>
    <t>Актуальные вопросы в практической деятельности медицинской сестры-анестезиста (медицинского брата-анестезиста) отделения анестезиологии и реанимации</t>
  </si>
  <si>
    <t>Актуальные вопросы в практической деятельности медицинской сестры (медицинского брата) централизованного стерилизационного отделения</t>
  </si>
  <si>
    <t>Актуальные вопросы в практической деятельности медицинской сестры (медицинского брата) отделения гемодиализа с экстракорпоральными методами детоксикации</t>
  </si>
  <si>
    <t>Актуальные вопросы в практической деятельности медицинской сестры (медицинского брата) операционного хирургического блока</t>
  </si>
  <si>
    <t>эпидемиолог</t>
  </si>
  <si>
    <t>ИТОГО для специалистов со средним специальным медицинским образованием:</t>
  </si>
  <si>
    <t>Наименование программы</t>
  </si>
  <si>
    <t>Профиль анестезиологии и реаниматологии</t>
  </si>
  <si>
    <t>Наименование программ</t>
  </si>
  <si>
    <t>Сумма НДС, бел руб.</t>
  </si>
  <si>
    <t>18</t>
  </si>
  <si>
    <t xml:space="preserve">Диагностика опухолей ЛОР-органов </t>
  </si>
  <si>
    <t>Современные методы исследования слуха у детей и взрослых</t>
  </si>
  <si>
    <t>3.3.</t>
  </si>
  <si>
    <t xml:space="preserve">Современные аспекты диагностики, лечения и профилактики злокачественных новообразований органов малого таза и наружных половых органов у женского населения (для врачей-акушеров-гинекологов) </t>
  </si>
  <si>
    <t xml:space="preserve">РАСЧЕТ
 основной заработной платы специалистов за одну минуту
по программам стажировок </t>
  </si>
  <si>
    <t>8.4.</t>
  </si>
  <si>
    <t>Стоимость проведения образовательных программ, бел. руб.
(1 чел.)</t>
  </si>
  <si>
    <t>Стоимость
 из расчета на одного обучающего, 
бел. руб.
(группа 4 чел.)</t>
  </si>
  <si>
    <t>Стоимость
 из расчета на одного обучающего, 
бел. руб.
(группа 3 чел.)</t>
  </si>
  <si>
    <t>Стоимость
 из расчета на одного обучающего, 
бел. руб.
(группа 2 чел.)</t>
  </si>
  <si>
    <t>перераспр з/п</t>
  </si>
  <si>
    <t>Сумма возмещения по статье "Заработная плата "</t>
  </si>
  <si>
    <t>Сумма возмещения по статье "Начисления на заработную плату"</t>
  </si>
  <si>
    <t>основная з/пл (по калькуляции)* 
к-во услуг</t>
  </si>
  <si>
    <t>Расходы по статьям (с перераспред)</t>
  </si>
  <si>
    <t>налоги
411</t>
  </si>
  <si>
    <t>ИТОГО себестоимость</t>
  </si>
  <si>
    <t>Налог
на прибыль</t>
  </si>
  <si>
    <t>ожидаемая премия с сч 411</t>
  </si>
  <si>
    <t>Страховые взносы по обязательному страхованию
от несчастных случаев
на производстве и профессиональных заболеваний, бел. руб.</t>
  </si>
  <si>
    <t>Чистая прибыль
(ОЖИДАЕМАЯ)</t>
  </si>
  <si>
    <t xml:space="preserve">Малоинвазивные методики дренирования жидкостных образований брюшной полости под УЗИ контролем </t>
  </si>
  <si>
    <t>Экстренная и плановая торакальная хирургия</t>
  </si>
  <si>
    <t>Рвматологические заболевания в общей врачетной практике</t>
  </si>
  <si>
    <t>вра-ревматолог</t>
  </si>
  <si>
    <t>Врач-ревматолог</t>
  </si>
  <si>
    <t>Лучко</t>
  </si>
  <si>
    <t>Ждонец (гн. хир)</t>
  </si>
  <si>
    <r>
      <rPr>
        <b/>
        <sz val="13"/>
        <rFont val="Times New Roman"/>
        <family val="1"/>
        <charset val="204"/>
      </rPr>
      <t xml:space="preserve">ИНФОРМАЦИЯ
</t>
    </r>
    <r>
      <rPr>
        <sz val="13"/>
        <rFont val="Times New Roman"/>
        <family val="1"/>
        <charset val="204"/>
      </rPr>
      <t xml:space="preserve">по программам стажировок на базе учреждения здравоохранения </t>
    </r>
  </si>
  <si>
    <t>Медицинская сестра  централизованного стерилизационного отделения</t>
  </si>
  <si>
    <t>Медицинская сестра отделения гемодиализа с экстракорпоральными методами детоксикации</t>
  </si>
  <si>
    <t>Медицинская сестра операционного хирургического блока</t>
  </si>
  <si>
    <t>Врач-рентгенолог
кабинета рентгенокомпьютерной диагностики</t>
  </si>
  <si>
    <t>Врач-рентгенолог
рентгеновского отделения</t>
  </si>
  <si>
    <t xml:space="preserve">Врач-онколог
</t>
  </si>
  <si>
    <t>Прейскурант цен 
на проведение образовательных программ стажировок руководящих работников и специалистов</t>
  </si>
  <si>
    <t xml:space="preserve">РАЗМЕРЫ
обязательных страховых взносов, отчислений и выплат от заработной платы
по программам стажировок на базе учреждения здравоохранения 
</t>
  </si>
  <si>
    <t>Врач-аллерголог-иммунолог</t>
  </si>
  <si>
    <t>УТВЕРЖДАЮ
Главный врач
учреждения здравоохранения
«Гродненская университетская клиника»</t>
  </si>
  <si>
    <t>ПЛАНОВАЯ КАЛЬКУЛЯЦИЯ РАСЧЕТА ТАРИФОВ
НА ПЛАТНЫЕ УСЛУГИ  по программам стажировок</t>
  </si>
  <si>
    <t>ПЛАНОВАЯ КАЛЬКУЛЯЦИЯ РАСЧЕТА ТАРИФОВ
НА ПЛАТНЫЕ УСЛУГИ  по программам стажировок для иностранных граждан</t>
  </si>
  <si>
    <t>Прейскурант цен 
на проведение образовательных программ стажировок руководящих работников и специалистов для иностранных граждан</t>
  </si>
  <si>
    <t xml:space="preserve">УТВЕРЖДЕНО                 приказ главного врача </t>
  </si>
  <si>
    <t>С.Н. Лазаревич
«___»____________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</si>
</sst>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%"/>
    <numFmt numFmtId="167" formatCode="_-* #,##0_р_._-;\-* #,##0_р_._-;_-* &quot;-&quot;??_р_._-;_-@_-"/>
    <numFmt numFmtId="168" formatCode="0.0000000"/>
    <numFmt numFmtId="169" formatCode="_-* #,##0.0000_р_._-;\-* #,##0.0000_р_._-;_-* &quot;-&quot;??_р_._-;_-@_-"/>
    <numFmt numFmtId="170" formatCode="_-* #,##0.00000_р_._-;\-* #,##0.00000_р_._-;_-* &quot;-&quot;??_р_._-;_-@_-"/>
    <numFmt numFmtId="171" formatCode="_-* #,##0.0000_-;\-* #,##0.0000_-;_-* &quot;-&quot;??_-;_-@_-"/>
    <numFmt numFmtId="172" formatCode="_-* #,##0.000_-;\-* #,##0.000_-;_-* &quot;-&quot;??_-;_-@_-"/>
  </numFmts>
  <fonts count="5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</font>
    <font>
      <sz val="13"/>
      <name val="Arial Cyr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name val="Times New Roman"/>
      <family val="1"/>
    </font>
    <font>
      <sz val="13"/>
      <color theme="0" tint="-0.4999847407452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</font>
    <font>
      <strike/>
      <sz val="10"/>
      <name val="Times New Roman"/>
      <family val="1"/>
    </font>
    <font>
      <strike/>
      <sz val="13"/>
      <name val="Times New Roman"/>
      <family val="1"/>
    </font>
    <font>
      <sz val="15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sz val="10"/>
      <color rgb="FF000000"/>
      <name val="Times New Roman"/>
      <family val="2"/>
    </font>
    <font>
      <i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6">
    <xf numFmtId="0" fontId="0" fillId="0" borderId="0"/>
    <xf numFmtId="0" fontId="20" fillId="0" borderId="0"/>
    <xf numFmtId="0" fontId="20" fillId="0" borderId="0"/>
    <xf numFmtId="0" fontId="13" fillId="0" borderId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0" fillId="0" borderId="0"/>
    <xf numFmtId="0" fontId="6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6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7" fillId="0" borderId="0"/>
    <xf numFmtId="0" fontId="7" fillId="0" borderId="0"/>
    <xf numFmtId="0" fontId="7" fillId="0" borderId="0"/>
    <xf numFmtId="165" fontId="13" fillId="0" borderId="0" applyFont="0" applyFill="0" applyBorder="0" applyAlignment="0" applyProtection="0"/>
    <xf numFmtId="0" fontId="5" fillId="0" borderId="0"/>
    <xf numFmtId="0" fontId="4" fillId="0" borderId="0"/>
    <xf numFmtId="0" fontId="38" fillId="0" borderId="0"/>
    <xf numFmtId="0" fontId="39" fillId="0" borderId="0"/>
    <xf numFmtId="0" fontId="41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7" fillId="0" borderId="0"/>
    <xf numFmtId="9" fontId="1" fillId="0" borderId="0" applyFont="0" applyFill="0" applyBorder="0" applyAlignment="0" applyProtection="0"/>
  </cellStyleXfs>
  <cellXfs count="782">
    <xf numFmtId="0" fontId="0" fillId="0" borderId="0" xfId="0"/>
    <xf numFmtId="0" fontId="9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9" fillId="0" borderId="0" xfId="0" applyFont="1"/>
    <xf numFmtId="0" fontId="10" fillId="0" borderId="0" xfId="1" applyFont="1"/>
    <xf numFmtId="0" fontId="9" fillId="0" borderId="1" xfId="0" applyFont="1" applyFill="1" applyBorder="1" applyAlignment="1">
      <alignment horizontal="left" vertical="top" wrapText="1"/>
    </xf>
    <xf numFmtId="167" fontId="9" fillId="0" borderId="0" xfId="6" applyNumberFormat="1" applyFont="1"/>
    <xf numFmtId="167" fontId="9" fillId="0" borderId="0" xfId="0" applyNumberFormat="1" applyFont="1"/>
    <xf numFmtId="0" fontId="11" fillId="4" borderId="0" xfId="0" applyFont="1" applyFill="1" applyAlignment="1">
      <alignment horizontal="center" vertical="center"/>
    </xf>
    <xf numFmtId="0" fontId="9" fillId="4" borderId="0" xfId="0" applyFont="1" applyFill="1"/>
    <xf numFmtId="0" fontId="11" fillId="4" borderId="0" xfId="0" applyFont="1" applyFill="1" applyAlignment="1">
      <alignment horizontal="left" vertical="center"/>
    </xf>
    <xf numFmtId="167" fontId="9" fillId="4" borderId="0" xfId="6" applyNumberFormat="1" applyFont="1" applyFill="1"/>
    <xf numFmtId="167" fontId="9" fillId="4" borderId="0" xfId="0" applyNumberFormat="1" applyFont="1" applyFill="1"/>
    <xf numFmtId="0" fontId="9" fillId="0" borderId="0" xfId="0" applyFont="1" applyAlignment="1">
      <alignment horizontal="center" vertical="center"/>
    </xf>
    <xf numFmtId="165" fontId="24" fillId="0" borderId="32" xfId="31" applyFont="1" applyBorder="1" applyAlignment="1">
      <alignment horizontal="center" vertical="center"/>
    </xf>
    <xf numFmtId="165" fontId="24" fillId="0" borderId="0" xfId="3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top" wrapText="1"/>
    </xf>
    <xf numFmtId="49" fontId="24" fillId="0" borderId="1" xfId="0" applyNumberFormat="1" applyFont="1" applyBorder="1" applyAlignment="1">
      <alignment horizontal="center" vertical="top" wrapText="1"/>
    </xf>
    <xf numFmtId="49" fontId="24" fillId="0" borderId="1" xfId="0" applyNumberFormat="1" applyFont="1" applyBorder="1" applyAlignment="1">
      <alignment vertical="top" wrapText="1"/>
    </xf>
    <xf numFmtId="49" fontId="24" fillId="0" borderId="16" xfId="0" applyNumberFormat="1" applyFont="1" applyBorder="1" applyAlignment="1">
      <alignment vertical="top" wrapText="1"/>
    </xf>
    <xf numFmtId="49" fontId="24" fillId="0" borderId="6" xfId="0" applyNumberFormat="1" applyFont="1" applyBorder="1" applyAlignment="1">
      <alignment horizontal="center" vertical="top" wrapText="1"/>
    </xf>
    <xf numFmtId="49" fontId="24" fillId="4" borderId="3" xfId="0" applyNumberFormat="1" applyFont="1" applyFill="1" applyBorder="1" applyAlignment="1">
      <alignment horizontal="center" vertical="top" wrapText="1"/>
    </xf>
    <xf numFmtId="49" fontId="24" fillId="0" borderId="3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 wrapText="1"/>
    </xf>
    <xf numFmtId="49" fontId="9" fillId="0" borderId="5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49" fontId="24" fillId="0" borderId="6" xfId="0" applyNumberFormat="1" applyFont="1" applyBorder="1" applyAlignment="1">
      <alignment horizontal="center"/>
    </xf>
    <xf numFmtId="49" fontId="24" fillId="4" borderId="4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16" fontId="9" fillId="0" borderId="17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/>
    </xf>
    <xf numFmtId="9" fontId="9" fillId="0" borderId="1" xfId="4" applyFont="1" applyBorder="1" applyAlignment="1">
      <alignment horizontal="center" vertical="center"/>
    </xf>
    <xf numFmtId="165" fontId="9" fillId="4" borderId="1" xfId="3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165" fontId="9" fillId="0" borderId="1" xfId="31" applyFont="1" applyBorder="1" applyAlignment="1">
      <alignment vertical="center"/>
    </xf>
    <xf numFmtId="169" fontId="9" fillId="0" borderId="23" xfId="31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2" fontId="9" fillId="0" borderId="1" xfId="0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49" fontId="26" fillId="0" borderId="1" xfId="1" applyNumberFormat="1" applyFont="1" applyBorder="1" applyAlignment="1">
      <alignment horizontal="center" vertical="top" wrapText="1"/>
    </xf>
    <xf numFmtId="49" fontId="26" fillId="0" borderId="1" xfId="1" applyNumberFormat="1" applyFont="1" applyBorder="1" applyAlignment="1">
      <alignment vertical="top" wrapText="1"/>
    </xf>
    <xf numFmtId="49" fontId="26" fillId="0" borderId="1" xfId="1" applyNumberFormat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9" fontId="10" fillId="0" borderId="27" xfId="5" applyFont="1" applyBorder="1" applyAlignment="1">
      <alignment horizontal="center" vertical="center"/>
    </xf>
    <xf numFmtId="2" fontId="10" fillId="0" borderId="27" xfId="1" applyNumberFormat="1" applyFont="1" applyBorder="1" applyAlignment="1">
      <alignment horizontal="center" vertical="center"/>
    </xf>
    <xf numFmtId="9" fontId="10" fillId="0" borderId="1" xfId="5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25" fillId="0" borderId="0" xfId="1" applyFont="1" applyAlignment="1">
      <alignment horizontal="left" vertical="center"/>
    </xf>
    <xf numFmtId="167" fontId="10" fillId="0" borderId="6" xfId="9" applyNumberFormat="1" applyFont="1" applyBorder="1" applyAlignment="1">
      <alignment horizontal="center" vertical="center"/>
    </xf>
    <xf numFmtId="167" fontId="10" fillId="0" borderId="0" xfId="9" applyNumberFormat="1" applyFont="1"/>
    <xf numFmtId="167" fontId="10" fillId="0" borderId="0" xfId="1" applyNumberFormat="1" applyFont="1"/>
    <xf numFmtId="165" fontId="9" fillId="0" borderId="15" xfId="8" applyNumberFormat="1" applyFont="1" applyFill="1" applyBorder="1" applyAlignment="1">
      <alignment horizontal="center" vertical="center"/>
    </xf>
    <xf numFmtId="167" fontId="8" fillId="5" borderId="0" xfId="8" applyNumberFormat="1" applyFont="1" applyFill="1" applyBorder="1" applyAlignment="1">
      <alignment horizontal="center" vertical="center"/>
    </xf>
    <xf numFmtId="0" fontId="29" fillId="0" borderId="47" xfId="33" applyFont="1" applyBorder="1" applyAlignment="1">
      <alignment horizontal="center" vertical="top" wrapText="1"/>
    </xf>
    <xf numFmtId="0" fontId="29" fillId="0" borderId="17" xfId="33" applyFont="1" applyBorder="1" applyAlignment="1">
      <alignment horizontal="center" vertical="top" wrapText="1"/>
    </xf>
    <xf numFmtId="165" fontId="13" fillId="0" borderId="31" xfId="8" applyNumberFormat="1" applyFont="1" applyFill="1" applyBorder="1" applyAlignment="1">
      <alignment horizontal="center" vertical="center"/>
    </xf>
    <xf numFmtId="167" fontId="8" fillId="5" borderId="26" xfId="8" applyNumberFormat="1" applyFont="1" applyFill="1" applyBorder="1" applyAlignment="1">
      <alignment horizontal="center" vertical="center"/>
    </xf>
    <xf numFmtId="167" fontId="8" fillId="5" borderId="1" xfId="8" applyNumberFormat="1" applyFont="1" applyFill="1" applyBorder="1" applyAlignment="1">
      <alignment horizontal="left" vertical="center"/>
    </xf>
    <xf numFmtId="165" fontId="23" fillId="5" borderId="31" xfId="8" applyNumberFormat="1" applyFont="1" applyFill="1" applyBorder="1" applyAlignment="1">
      <alignment horizontal="center" vertical="center"/>
    </xf>
    <xf numFmtId="167" fontId="8" fillId="5" borderId="1" xfId="8" applyNumberFormat="1" applyFont="1" applyFill="1" applyBorder="1" applyAlignment="1">
      <alignment horizontal="left" vertical="center" wrapText="1"/>
    </xf>
    <xf numFmtId="167" fontId="8" fillId="5" borderId="18" xfId="8" applyNumberFormat="1" applyFont="1" applyFill="1" applyBorder="1" applyAlignment="1">
      <alignment horizontal="center" vertical="center"/>
    </xf>
    <xf numFmtId="165" fontId="23" fillId="5" borderId="48" xfId="8" applyNumberFormat="1" applyFont="1" applyFill="1" applyBorder="1" applyAlignment="1">
      <alignment horizontal="center" vertical="center"/>
    </xf>
    <xf numFmtId="167" fontId="8" fillId="5" borderId="24" xfId="8" applyNumberFormat="1" applyFont="1" applyFill="1" applyBorder="1" applyAlignment="1">
      <alignment horizontal="left" vertical="center"/>
    </xf>
    <xf numFmtId="165" fontId="9" fillId="0" borderId="31" xfId="8" applyNumberFormat="1" applyFont="1" applyFill="1" applyBorder="1" applyAlignment="1">
      <alignment horizontal="center" vertical="center"/>
    </xf>
    <xf numFmtId="167" fontId="8" fillId="6" borderId="0" xfId="8" applyNumberFormat="1" applyFont="1" applyFill="1" applyBorder="1" applyAlignment="1">
      <alignment horizontal="center" vertical="center"/>
    </xf>
    <xf numFmtId="0" fontId="29" fillId="0" borderId="47" xfId="33" applyFont="1" applyFill="1" applyBorder="1" applyAlignment="1">
      <alignment horizontal="center" vertical="top" wrapText="1"/>
    </xf>
    <xf numFmtId="49" fontId="29" fillId="0" borderId="47" xfId="33" applyNumberFormat="1" applyFont="1" applyFill="1" applyBorder="1" applyAlignment="1">
      <alignment horizontal="center" vertical="top" wrapText="1"/>
    </xf>
    <xf numFmtId="167" fontId="13" fillId="6" borderId="0" xfId="8" applyNumberFormat="1" applyFont="1" applyFill="1" applyBorder="1" applyAlignment="1">
      <alignment horizontal="center" vertical="center"/>
    </xf>
    <xf numFmtId="0" fontId="13" fillId="0" borderId="0" xfId="33" applyFont="1" applyBorder="1" applyAlignment="1">
      <alignment horizontal="center" vertical="top" wrapText="1"/>
    </xf>
    <xf numFmtId="0" fontId="13" fillId="0" borderId="0" xfId="33" applyFont="1" applyFill="1" applyBorder="1" applyAlignment="1">
      <alignment horizontal="center" vertical="top" wrapText="1"/>
    </xf>
    <xf numFmtId="49" fontId="13" fillId="0" borderId="0" xfId="33" applyNumberFormat="1" applyFont="1" applyFill="1" applyBorder="1" applyAlignment="1">
      <alignment horizontal="center" vertical="top" wrapText="1"/>
    </xf>
    <xf numFmtId="2" fontId="8" fillId="6" borderId="22" xfId="8" applyNumberFormat="1" applyFont="1" applyFill="1" applyBorder="1" applyAlignment="1">
      <alignment horizontal="center" vertical="center"/>
    </xf>
    <xf numFmtId="165" fontId="8" fillId="6" borderId="1" xfId="8" applyNumberFormat="1" applyFont="1" applyFill="1" applyBorder="1" applyAlignment="1">
      <alignment horizontal="left" vertical="center" wrapText="1"/>
    </xf>
    <xf numFmtId="165" fontId="23" fillId="6" borderId="1" xfId="8" applyNumberFormat="1" applyFont="1" applyFill="1" applyBorder="1" applyAlignment="1">
      <alignment horizontal="left" vertical="center" wrapText="1"/>
    </xf>
    <xf numFmtId="165" fontId="23" fillId="6" borderId="23" xfId="8" applyNumberFormat="1" applyFont="1" applyFill="1" applyBorder="1" applyAlignment="1">
      <alignment horizontal="center" vertical="center"/>
    </xf>
    <xf numFmtId="0" fontId="29" fillId="0" borderId="0" xfId="33" applyFont="1" applyBorder="1" applyAlignment="1">
      <alignment horizontal="center" vertical="top" wrapText="1"/>
    </xf>
    <xf numFmtId="0" fontId="29" fillId="0" borderId="0" xfId="33" applyFont="1" applyFill="1" applyBorder="1" applyAlignment="1">
      <alignment horizontal="center" vertical="top" wrapText="1"/>
    </xf>
    <xf numFmtId="49" fontId="29" fillId="0" borderId="0" xfId="33" applyNumberFormat="1" applyFont="1" applyFill="1" applyBorder="1" applyAlignment="1">
      <alignment horizontal="center" vertical="top" wrapText="1"/>
    </xf>
    <xf numFmtId="165" fontId="30" fillId="6" borderId="1" xfId="8" applyNumberFormat="1" applyFont="1" applyFill="1" applyBorder="1" applyAlignment="1">
      <alignment horizontal="left" vertical="center" wrapText="1"/>
    </xf>
    <xf numFmtId="165" fontId="31" fillId="6" borderId="1" xfId="8" applyNumberFormat="1" applyFont="1" applyFill="1" applyBorder="1" applyAlignment="1">
      <alignment horizontal="left" vertical="center" wrapText="1"/>
    </xf>
    <xf numFmtId="165" fontId="31" fillId="6" borderId="23" xfId="8" applyNumberFormat="1" applyFont="1" applyFill="1" applyBorder="1" applyAlignment="1">
      <alignment horizontal="center" vertical="center"/>
    </xf>
    <xf numFmtId="2" fontId="30" fillId="6" borderId="22" xfId="8" applyNumberFormat="1" applyFont="1" applyFill="1" applyBorder="1" applyAlignment="1">
      <alignment horizontal="center" vertical="center"/>
    </xf>
    <xf numFmtId="166" fontId="9" fillId="0" borderId="37" xfId="5" applyNumberFormat="1" applyFont="1" applyFill="1" applyBorder="1" applyAlignment="1">
      <alignment horizontal="center" vertical="center"/>
    </xf>
    <xf numFmtId="165" fontId="17" fillId="0" borderId="0" xfId="8" applyFont="1"/>
    <xf numFmtId="166" fontId="17" fillId="0" borderId="0" xfId="5" applyNumberFormat="1" applyFont="1" applyFill="1"/>
    <xf numFmtId="166" fontId="17" fillId="0" borderId="0" xfId="5" applyNumberFormat="1" applyFont="1" applyFill="1" applyAlignment="1">
      <alignment vertical="top"/>
    </xf>
    <xf numFmtId="165" fontId="17" fillId="0" borderId="0" xfId="8" applyFont="1" applyAlignment="1">
      <alignment vertical="top"/>
    </xf>
    <xf numFmtId="49" fontId="8" fillId="0" borderId="17" xfId="34" applyNumberFormat="1" applyFont="1" applyBorder="1" applyAlignment="1">
      <alignment horizontal="left" vertical="top" wrapText="1"/>
    </xf>
    <xf numFmtId="49" fontId="8" fillId="0" borderId="19" xfId="34" applyNumberFormat="1" applyFont="1" applyBorder="1" applyAlignment="1">
      <alignment horizontal="left" vertical="top" wrapText="1"/>
    </xf>
    <xf numFmtId="166" fontId="28" fillId="0" borderId="0" xfId="5" applyNumberFormat="1" applyFont="1" applyAlignment="1">
      <alignment horizontal="center" vertical="top"/>
    </xf>
    <xf numFmtId="49" fontId="28" fillId="0" borderId="0" xfId="8" applyNumberFormat="1" applyFont="1" applyAlignment="1">
      <alignment vertical="top"/>
    </xf>
    <xf numFmtId="165" fontId="28" fillId="0" borderId="0" xfId="8" applyFont="1" applyAlignment="1">
      <alignment vertical="top"/>
    </xf>
    <xf numFmtId="166" fontId="17" fillId="0" borderId="0" xfId="5" applyNumberFormat="1" applyFont="1"/>
    <xf numFmtId="49" fontId="17" fillId="0" borderId="0" xfId="8" applyNumberFormat="1" applyFont="1"/>
    <xf numFmtId="166" fontId="12" fillId="0" borderId="0" xfId="5" applyNumberFormat="1" applyFont="1"/>
    <xf numFmtId="49" fontId="12" fillId="0" borderId="0" xfId="8" applyNumberFormat="1" applyFont="1"/>
    <xf numFmtId="165" fontId="12" fillId="0" borderId="0" xfId="8" applyFont="1"/>
    <xf numFmtId="49" fontId="13" fillId="0" borderId="0" xfId="8" applyNumberFormat="1" applyFont="1"/>
    <xf numFmtId="165" fontId="13" fillId="0" borderId="0" xfId="8" applyFont="1"/>
    <xf numFmtId="165" fontId="9" fillId="0" borderId="17" xfId="8" applyFont="1" applyFill="1" applyBorder="1" applyAlignment="1">
      <alignment horizontal="center" vertical="top"/>
    </xf>
    <xf numFmtId="165" fontId="9" fillId="0" borderId="23" xfId="8" applyFont="1" applyFill="1" applyBorder="1" applyAlignment="1">
      <alignment horizontal="center" vertical="center"/>
    </xf>
    <xf numFmtId="165" fontId="9" fillId="0" borderId="0" xfId="8" applyFont="1"/>
    <xf numFmtId="165" fontId="9" fillId="0" borderId="17" xfId="8" applyFont="1" applyFill="1" applyBorder="1" applyAlignment="1">
      <alignment vertical="center"/>
    </xf>
    <xf numFmtId="165" fontId="9" fillId="3" borderId="15" xfId="8" applyFont="1" applyFill="1" applyBorder="1"/>
    <xf numFmtId="165" fontId="9" fillId="0" borderId="31" xfId="8" applyFont="1" applyFill="1" applyBorder="1"/>
    <xf numFmtId="166" fontId="9" fillId="0" borderId="1" xfId="5" applyNumberFormat="1" applyFont="1" applyFill="1" applyBorder="1" applyAlignment="1">
      <alignment horizontal="center" vertical="center"/>
    </xf>
    <xf numFmtId="166" fontId="13" fillId="0" borderId="0" xfId="5" applyNumberFormat="1" applyFont="1"/>
    <xf numFmtId="165" fontId="9" fillId="0" borderId="17" xfId="8" applyFont="1" applyFill="1" applyBorder="1"/>
    <xf numFmtId="165" fontId="9" fillId="3" borderId="23" xfId="8" applyFont="1" applyFill="1" applyBorder="1"/>
    <xf numFmtId="165" fontId="9" fillId="0" borderId="17" xfId="8" applyFont="1" applyFill="1" applyBorder="1" applyAlignment="1">
      <alignment horizontal="center" vertical="center"/>
    </xf>
    <xf numFmtId="165" fontId="9" fillId="3" borderId="23" xfId="8" applyFont="1" applyFill="1" applyBorder="1" applyAlignment="1">
      <alignment horizontal="center" vertical="center"/>
    </xf>
    <xf numFmtId="165" fontId="9" fillId="0" borderId="31" xfId="8" applyFont="1" applyFill="1" applyBorder="1" applyAlignment="1">
      <alignment horizontal="center" vertical="center"/>
    </xf>
    <xf numFmtId="10" fontId="9" fillId="0" borderId="1" xfId="5" applyNumberFormat="1" applyFont="1" applyFill="1" applyBorder="1" applyAlignment="1">
      <alignment horizontal="center" vertical="center"/>
    </xf>
    <xf numFmtId="10" fontId="13" fillId="0" borderId="0" xfId="5" applyNumberFormat="1" applyFont="1"/>
    <xf numFmtId="165" fontId="9" fillId="0" borderId="0" xfId="8" applyFont="1" applyFill="1"/>
    <xf numFmtId="165" fontId="9" fillId="0" borderId="33" xfId="8" applyFont="1" applyFill="1" applyBorder="1" applyAlignment="1">
      <alignment horizontal="center" vertical="top"/>
    </xf>
    <xf numFmtId="165" fontId="9" fillId="3" borderId="17" xfId="8" applyFont="1" applyFill="1" applyBorder="1"/>
    <xf numFmtId="165" fontId="9" fillId="4" borderId="17" xfId="8" applyFont="1" applyFill="1" applyBorder="1" applyAlignment="1">
      <alignment horizontal="center" vertical="center"/>
    </xf>
    <xf numFmtId="165" fontId="9" fillId="7" borderId="17" xfId="8" applyFont="1" applyFill="1" applyBorder="1" applyAlignment="1">
      <alignment horizontal="center" vertical="center"/>
    </xf>
    <xf numFmtId="49" fontId="13" fillId="0" borderId="0" xfId="8" applyNumberFormat="1" applyFont="1" applyFill="1" applyAlignment="1">
      <alignment vertical="center"/>
    </xf>
    <xf numFmtId="165" fontId="9" fillId="8" borderId="17" xfId="8" applyFont="1" applyFill="1" applyBorder="1"/>
    <xf numFmtId="165" fontId="9" fillId="0" borderId="31" xfId="8" applyFont="1" applyFill="1" applyBorder="1" applyAlignment="1">
      <alignment vertical="center"/>
    </xf>
    <xf numFmtId="165" fontId="9" fillId="3" borderId="17" xfId="8" applyFont="1" applyFill="1" applyBorder="1" applyAlignment="1">
      <alignment horizontal="center" vertical="center"/>
    </xf>
    <xf numFmtId="165" fontId="9" fillId="2" borderId="17" xfId="8" applyFont="1" applyFill="1" applyBorder="1"/>
    <xf numFmtId="165" fontId="9" fillId="2" borderId="17" xfId="8" applyFont="1" applyFill="1" applyBorder="1" applyAlignment="1">
      <alignment vertical="center"/>
    </xf>
    <xf numFmtId="165" fontId="9" fillId="9" borderId="17" xfId="8" applyFont="1" applyFill="1" applyBorder="1" applyAlignment="1">
      <alignment horizontal="center" vertical="center"/>
    </xf>
    <xf numFmtId="49" fontId="13" fillId="0" borderId="0" xfId="8" applyNumberFormat="1" applyFont="1" applyAlignment="1">
      <alignment wrapText="1"/>
    </xf>
    <xf numFmtId="49" fontId="13" fillId="0" borderId="0" xfId="8" applyNumberFormat="1" applyFont="1" applyAlignment="1">
      <alignment vertical="center"/>
    </xf>
    <xf numFmtId="165" fontId="9" fillId="3" borderId="17" xfId="8" applyFont="1" applyFill="1" applyBorder="1" applyAlignment="1">
      <alignment vertical="center"/>
    </xf>
    <xf numFmtId="166" fontId="14" fillId="0" borderId="47" xfId="5" applyNumberFormat="1" applyFont="1" applyFill="1" applyBorder="1" applyAlignment="1">
      <alignment horizontal="center" vertical="center"/>
    </xf>
    <xf numFmtId="166" fontId="9" fillId="0" borderId="47" xfId="5" applyNumberFormat="1" applyFont="1" applyFill="1" applyBorder="1" applyAlignment="1">
      <alignment horizontal="center" vertical="center"/>
    </xf>
    <xf numFmtId="166" fontId="9" fillId="0" borderId="50" xfId="5" applyNumberFormat="1" applyFont="1" applyFill="1" applyBorder="1" applyAlignment="1">
      <alignment horizontal="center" vertical="center"/>
    </xf>
    <xf numFmtId="165" fontId="9" fillId="0" borderId="19" xfId="8" applyFont="1" applyFill="1" applyBorder="1" applyAlignment="1">
      <alignment horizontal="center" vertical="top"/>
    </xf>
    <xf numFmtId="166" fontId="12" fillId="0" borderId="0" xfId="5" applyNumberFormat="1" applyFont="1" applyFill="1"/>
    <xf numFmtId="49" fontId="12" fillId="0" borderId="0" xfId="8" applyNumberFormat="1" applyFont="1" applyFill="1"/>
    <xf numFmtId="165" fontId="12" fillId="0" borderId="0" xfId="8" applyFont="1" applyFill="1"/>
    <xf numFmtId="49" fontId="17" fillId="0" borderId="0" xfId="8" applyNumberFormat="1" applyFont="1" applyFill="1"/>
    <xf numFmtId="165" fontId="17" fillId="0" borderId="0" xfId="8" applyFont="1" applyFill="1"/>
    <xf numFmtId="49" fontId="17" fillId="0" borderId="0" xfId="8" applyNumberFormat="1" applyFont="1" applyFill="1" applyAlignment="1">
      <alignment vertical="top"/>
    </xf>
    <xf numFmtId="165" fontId="17" fillId="0" borderId="0" xfId="8" applyFont="1" applyFill="1" applyAlignment="1">
      <alignment vertical="top"/>
    </xf>
    <xf numFmtId="166" fontId="13" fillId="0" borderId="0" xfId="5" applyNumberFormat="1" applyFont="1" applyFill="1"/>
    <xf numFmtId="49" fontId="13" fillId="0" borderId="0" xfId="8" applyNumberFormat="1" applyFont="1" applyFill="1"/>
    <xf numFmtId="165" fontId="13" fillId="0" borderId="0" xfId="8" applyFont="1" applyFill="1"/>
    <xf numFmtId="49" fontId="9" fillId="0" borderId="2" xfId="0" applyNumberFormat="1" applyFont="1" applyBorder="1" applyAlignment="1">
      <alignment horizontal="center" vertical="top" wrapText="1"/>
    </xf>
    <xf numFmtId="0" fontId="0" fillId="0" borderId="0" xfId="0"/>
    <xf numFmtId="166" fontId="9" fillId="4" borderId="1" xfId="4" applyNumberFormat="1" applyFont="1" applyFill="1" applyBorder="1" applyAlignment="1">
      <alignment horizontal="center" vertical="center"/>
    </xf>
    <xf numFmtId="49" fontId="28" fillId="0" borderId="0" xfId="38" applyNumberFormat="1" applyFont="1" applyFill="1" applyAlignment="1">
      <alignment vertical="top"/>
    </xf>
    <xf numFmtId="49" fontId="17" fillId="0" borderId="0" xfId="38" applyNumberFormat="1" applyFont="1" applyAlignment="1">
      <alignment horizontal="left" vertical="top"/>
    </xf>
    <xf numFmtId="49" fontId="17" fillId="0" borderId="0" xfId="38" applyNumberFormat="1" applyFont="1" applyAlignment="1">
      <alignment vertical="top"/>
    </xf>
    <xf numFmtId="49" fontId="28" fillId="0" borderId="0" xfId="38" applyNumberFormat="1" applyFont="1" applyAlignment="1">
      <alignment vertical="top"/>
    </xf>
    <xf numFmtId="0" fontId="17" fillId="0" borderId="0" xfId="38" applyFont="1" applyFill="1" applyAlignment="1">
      <alignment horizontal="left"/>
    </xf>
    <xf numFmtId="0" fontId="17" fillId="0" borderId="0" xfId="38" applyFont="1" applyAlignment="1">
      <alignment horizontal="left"/>
    </xf>
    <xf numFmtId="0" fontId="17" fillId="0" borderId="0" xfId="38" applyFont="1"/>
    <xf numFmtId="0" fontId="12" fillId="0" borderId="0" xfId="38" applyFont="1" applyFill="1"/>
    <xf numFmtId="0" fontId="12" fillId="0" borderId="0" xfId="38" applyFont="1"/>
    <xf numFmtId="0" fontId="12" fillId="0" borderId="0" xfId="38" applyFont="1" applyFill="1" applyAlignment="1">
      <alignment horizontal="center" wrapText="1"/>
    </xf>
    <xf numFmtId="49" fontId="9" fillId="0" borderId="4" xfId="38" applyNumberFormat="1" applyFont="1" applyFill="1" applyBorder="1" applyAlignment="1">
      <alignment horizontal="center" vertical="top" wrapText="1"/>
    </xf>
    <xf numFmtId="0" fontId="9" fillId="0" borderId="0" xfId="38" applyFont="1"/>
    <xf numFmtId="49" fontId="11" fillId="3" borderId="4" xfId="38" applyNumberFormat="1" applyFont="1" applyFill="1" applyBorder="1" applyAlignment="1">
      <alignment horizontal="center" vertical="top" wrapText="1"/>
    </xf>
    <xf numFmtId="49" fontId="11" fillId="0" borderId="4" xfId="38" applyNumberFormat="1" applyFont="1" applyFill="1" applyBorder="1" applyAlignment="1">
      <alignment horizontal="center" vertical="top" wrapText="1"/>
    </xf>
    <xf numFmtId="0" fontId="13" fillId="0" borderId="0" xfId="38" applyFont="1" applyFill="1"/>
    <xf numFmtId="49" fontId="11" fillId="0" borderId="2" xfId="38" applyNumberFormat="1" applyFont="1" applyFill="1" applyBorder="1" applyAlignment="1">
      <alignment horizontal="center" vertical="top" wrapText="1"/>
    </xf>
    <xf numFmtId="49" fontId="11" fillId="0" borderId="0" xfId="8" applyNumberFormat="1" applyFont="1" applyAlignment="1">
      <alignment vertical="center"/>
    </xf>
    <xf numFmtId="0" fontId="13" fillId="0" borderId="0" xfId="38" applyFont="1"/>
    <xf numFmtId="165" fontId="9" fillId="8" borderId="17" xfId="8" applyFont="1" applyFill="1" applyBorder="1" applyAlignment="1">
      <alignment vertical="center"/>
    </xf>
    <xf numFmtId="49" fontId="10" fillId="0" borderId="0" xfId="38" applyNumberFormat="1" applyFont="1" applyAlignment="1">
      <alignment horizontal="left" vertical="top" wrapText="1"/>
    </xf>
    <xf numFmtId="0" fontId="9" fillId="0" borderId="0" xfId="38" applyFont="1" applyFill="1"/>
    <xf numFmtId="0" fontId="9" fillId="3" borderId="19" xfId="38" applyFont="1" applyFill="1" applyBorder="1"/>
    <xf numFmtId="0" fontId="9" fillId="3" borderId="37" xfId="38" applyFont="1" applyFill="1" applyBorder="1"/>
    <xf numFmtId="0" fontId="9" fillId="0" borderId="9" xfId="38" applyFont="1" applyFill="1" applyBorder="1"/>
    <xf numFmtId="9" fontId="32" fillId="0" borderId="0" xfId="5" applyFont="1" applyFill="1"/>
    <xf numFmtId="165" fontId="12" fillId="0" borderId="0" xfId="38" applyNumberFormat="1" applyFont="1" applyFill="1"/>
    <xf numFmtId="0" fontId="17" fillId="0" borderId="0" xfId="38" applyFont="1" applyFill="1"/>
    <xf numFmtId="0" fontId="17" fillId="0" borderId="0" xfId="38" applyFont="1" applyFill="1" applyAlignment="1">
      <alignment horizontal="left" vertical="center"/>
    </xf>
    <xf numFmtId="165" fontId="14" fillId="0" borderId="0" xfId="38" applyNumberFormat="1" applyFont="1" applyFill="1"/>
    <xf numFmtId="49" fontId="17" fillId="0" borderId="0" xfId="38" applyNumberFormat="1" applyFont="1" applyFill="1"/>
    <xf numFmtId="0" fontId="17" fillId="0" borderId="0" xfId="38" applyFont="1" applyFill="1" applyAlignment="1">
      <alignment vertical="top"/>
    </xf>
    <xf numFmtId="0" fontId="17" fillId="0" borderId="0" xfId="38" applyFont="1" applyFill="1" applyAlignment="1">
      <alignment horizontal="left" vertical="top"/>
    </xf>
    <xf numFmtId="165" fontId="28" fillId="0" borderId="0" xfId="38" applyNumberFormat="1" applyFont="1" applyFill="1"/>
    <xf numFmtId="165" fontId="33" fillId="0" borderId="0" xfId="38" applyNumberFormat="1" applyFont="1" applyFill="1" applyAlignment="1">
      <alignment vertical="top"/>
    </xf>
    <xf numFmtId="0" fontId="33" fillId="0" borderId="0" xfId="38" applyFont="1" applyFill="1" applyAlignment="1">
      <alignment vertical="top"/>
    </xf>
    <xf numFmtId="164" fontId="17" fillId="0" borderId="0" xfId="38" applyNumberFormat="1" applyFont="1" applyFill="1"/>
    <xf numFmtId="165" fontId="13" fillId="0" borderId="0" xfId="38" applyNumberFormat="1" applyFont="1" applyFill="1"/>
    <xf numFmtId="0" fontId="13" fillId="0" borderId="0" xfId="38" applyFont="1" applyFill="1" applyAlignment="1">
      <alignment wrapText="1"/>
    </xf>
    <xf numFmtId="164" fontId="13" fillId="0" borderId="0" xfId="38" applyNumberFormat="1" applyFont="1" applyFill="1"/>
    <xf numFmtId="0" fontId="13" fillId="3" borderId="0" xfId="38" applyFont="1" applyFill="1"/>
    <xf numFmtId="49" fontId="28" fillId="0" borderId="0" xfId="38" applyNumberFormat="1" applyFont="1" applyAlignment="1">
      <alignment horizontal="center" vertical="top"/>
    </xf>
    <xf numFmtId="0" fontId="13" fillId="0" borderId="0" xfId="38" applyFont="1" applyBorder="1"/>
    <xf numFmtId="0" fontId="9" fillId="0" borderId="13" xfId="38" applyFont="1" applyFill="1" applyBorder="1" applyAlignment="1">
      <alignment horizontal="center" vertical="top"/>
    </xf>
    <xf numFmtId="0" fontId="29" fillId="0" borderId="0" xfId="38" applyFont="1" applyAlignment="1">
      <alignment horizontal="center" vertical="top" wrapText="1"/>
    </xf>
    <xf numFmtId="0" fontId="13" fillId="0" borderId="22" xfId="38" applyFont="1" applyFill="1" applyBorder="1" applyAlignment="1">
      <alignment horizontal="center" vertical="top"/>
    </xf>
    <xf numFmtId="49" fontId="13" fillId="0" borderId="6" xfId="38" applyNumberFormat="1" applyFont="1" applyFill="1" applyBorder="1" applyAlignment="1">
      <alignment horizontal="left" vertical="top" wrapText="1"/>
    </xf>
    <xf numFmtId="49" fontId="13" fillId="0" borderId="24" xfId="38" applyNumberFormat="1" applyFont="1" applyFill="1" applyBorder="1" applyAlignment="1">
      <alignment horizontal="left" vertical="top" wrapText="1"/>
    </xf>
    <xf numFmtId="0" fontId="9" fillId="0" borderId="17" xfId="38" applyFont="1" applyFill="1" applyBorder="1" applyAlignment="1">
      <alignment horizontal="center" vertical="top"/>
    </xf>
    <xf numFmtId="0" fontId="9" fillId="0" borderId="19" xfId="38" applyFont="1" applyFill="1" applyBorder="1" applyAlignment="1">
      <alignment horizontal="center" vertical="top"/>
    </xf>
    <xf numFmtId="0" fontId="32" fillId="0" borderId="0" xfId="38" applyFont="1" applyFill="1"/>
    <xf numFmtId="0" fontId="17" fillId="0" borderId="0" xfId="38" applyFont="1" applyFill="1" applyAlignment="1">
      <alignment horizontal="left" indent="10"/>
    </xf>
    <xf numFmtId="0" fontId="17" fillId="0" borderId="0" xfId="38" applyFont="1" applyFill="1" applyAlignment="1">
      <alignment horizontal="left" vertical="center" indent="10"/>
    </xf>
    <xf numFmtId="0" fontId="17" fillId="0" borderId="0" xfId="38" applyFont="1" applyFill="1" applyAlignment="1">
      <alignment horizontal="left" vertical="top" indent="10"/>
    </xf>
    <xf numFmtId="0" fontId="17" fillId="0" borderId="0" xfId="38" applyFont="1" applyAlignment="1">
      <alignment vertical="top"/>
    </xf>
    <xf numFmtId="2" fontId="13" fillId="0" borderId="0" xfId="38" applyNumberFormat="1" applyFont="1"/>
    <xf numFmtId="0" fontId="13" fillId="0" borderId="1" xfId="38" applyFont="1" applyFill="1" applyBorder="1"/>
    <xf numFmtId="0" fontId="13" fillId="0" borderId="36" xfId="38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left" wrapText="1"/>
    </xf>
    <xf numFmtId="0" fontId="9" fillId="0" borderId="52" xfId="0" applyFont="1" applyFill="1" applyBorder="1" applyAlignment="1">
      <alignment horizontal="center" vertical="top" wrapText="1"/>
    </xf>
    <xf numFmtId="165" fontId="9" fillId="0" borderId="0" xfId="0" applyNumberFormat="1" applyFont="1" applyAlignment="1">
      <alignment horizontal="center"/>
    </xf>
    <xf numFmtId="0" fontId="1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49" fontId="9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wrapText="1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0" fillId="0" borderId="56" xfId="0" applyFont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40" fillId="0" borderId="55" xfId="0" applyFont="1" applyBorder="1" applyAlignment="1">
      <alignment horizontal="center" vertical="center" wrapText="1"/>
    </xf>
    <xf numFmtId="0" fontId="0" fillId="0" borderId="57" xfId="0" applyBorder="1" applyAlignment="1">
      <alignment vertical="center" wrapText="1"/>
    </xf>
    <xf numFmtId="0" fontId="40" fillId="0" borderId="57" xfId="0" applyFont="1" applyBorder="1" applyAlignment="1">
      <alignment horizontal="center" vertical="center" wrapText="1"/>
    </xf>
    <xf numFmtId="0" fontId="40" fillId="0" borderId="56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2" fillId="0" borderId="0" xfId="40" applyFont="1" applyAlignment="1">
      <alignment horizontal="center" vertical="top"/>
    </xf>
    <xf numFmtId="0" fontId="42" fillId="0" borderId="0" xfId="40" applyFont="1" applyAlignment="1">
      <alignment horizontal="left" vertical="top"/>
    </xf>
    <xf numFmtId="0" fontId="13" fillId="0" borderId="28" xfId="40" applyFont="1" applyBorder="1" applyAlignment="1">
      <alignment horizontal="center" vertical="center" wrapText="1"/>
    </xf>
    <xf numFmtId="0" fontId="41" fillId="0" borderId="4" xfId="40" applyFont="1" applyBorder="1" applyAlignment="1">
      <alignment horizontal="center" vertical="center" wrapText="1"/>
    </xf>
    <xf numFmtId="0" fontId="13" fillId="0" borderId="4" xfId="40" applyFont="1" applyBorder="1" applyAlignment="1">
      <alignment horizontal="center" vertical="center" wrapText="1"/>
    </xf>
    <xf numFmtId="1" fontId="41" fillId="0" borderId="42" xfId="40" applyNumberFormat="1" applyFont="1" applyBorder="1" applyAlignment="1">
      <alignment horizontal="center" vertical="top" shrinkToFit="1"/>
    </xf>
    <xf numFmtId="1" fontId="41" fillId="0" borderId="2" xfId="40" applyNumberFormat="1" applyFont="1" applyBorder="1" applyAlignment="1">
      <alignment horizontal="center" vertical="top" shrinkToFit="1"/>
    </xf>
    <xf numFmtId="0" fontId="43" fillId="0" borderId="0" xfId="40" applyFont="1" applyAlignment="1">
      <alignment horizontal="left" vertical="top"/>
    </xf>
    <xf numFmtId="0" fontId="42" fillId="0" borderId="17" xfId="40" applyFont="1" applyBorder="1" applyAlignment="1">
      <alignment horizontal="center" vertical="top"/>
    </xf>
    <xf numFmtId="0" fontId="9" fillId="0" borderId="1" xfId="40" applyFont="1" applyBorder="1" applyAlignment="1">
      <alignment horizontal="left" vertical="top" wrapText="1"/>
    </xf>
    <xf numFmtId="1" fontId="42" fillId="0" borderId="1" xfId="40" applyNumberFormat="1" applyFont="1" applyBorder="1" applyAlignment="1">
      <alignment horizontal="center" vertical="center" shrinkToFit="1"/>
    </xf>
    <xf numFmtId="0" fontId="42" fillId="0" borderId="0" xfId="40" applyFont="1" applyAlignment="1">
      <alignment horizontal="left" vertical="top" wrapText="1"/>
    </xf>
    <xf numFmtId="0" fontId="42" fillId="0" borderId="0" xfId="40" applyFont="1" applyAlignment="1">
      <alignment horizontal="left" vertical="center"/>
    </xf>
    <xf numFmtId="0" fontId="42" fillId="4" borderId="17" xfId="40" applyFont="1" applyFill="1" applyBorder="1" applyAlignment="1">
      <alignment horizontal="center" vertical="top"/>
    </xf>
    <xf numFmtId="0" fontId="9" fillId="4" borderId="1" xfId="40" applyFont="1" applyFill="1" applyBorder="1" applyAlignment="1">
      <alignment horizontal="left" vertical="top" wrapText="1"/>
    </xf>
    <xf numFmtId="1" fontId="42" fillId="4" borderId="1" xfId="40" applyNumberFormat="1" applyFont="1" applyFill="1" applyBorder="1" applyAlignment="1">
      <alignment horizontal="center" vertical="center" shrinkToFit="1"/>
    </xf>
    <xf numFmtId="0" fontId="42" fillId="4" borderId="0" xfId="40" applyFont="1" applyFill="1" applyAlignment="1">
      <alignment horizontal="left" vertical="top"/>
    </xf>
    <xf numFmtId="0" fontId="42" fillId="0" borderId="19" xfId="40" applyFont="1" applyBorder="1" applyAlignment="1">
      <alignment horizontal="center" vertical="top"/>
    </xf>
    <xf numFmtId="0" fontId="9" fillId="0" borderId="36" xfId="40" applyFont="1" applyBorder="1" applyAlignment="1">
      <alignment horizontal="left" vertical="top" wrapText="1"/>
    </xf>
    <xf numFmtId="1" fontId="42" fillId="0" borderId="36" xfId="40" applyNumberFormat="1" applyFont="1" applyBorder="1" applyAlignment="1">
      <alignment horizontal="center" vertical="center" shrinkToFit="1"/>
    </xf>
    <xf numFmtId="0" fontId="42" fillId="0" borderId="0" xfId="40" applyFont="1" applyAlignment="1">
      <alignment horizontal="center"/>
    </xf>
    <xf numFmtId="0" fontId="42" fillId="0" borderId="0" xfId="40" applyFont="1"/>
    <xf numFmtId="2" fontId="9" fillId="0" borderId="27" xfId="0" applyNumberFormat="1" applyFont="1" applyBorder="1" applyAlignment="1">
      <alignment horizontal="center" vertical="center"/>
    </xf>
    <xf numFmtId="165" fontId="9" fillId="0" borderId="27" xfId="31" applyFont="1" applyBorder="1" applyAlignment="1">
      <alignment horizontal="center" vertical="center"/>
    </xf>
    <xf numFmtId="2" fontId="9" fillId="0" borderId="27" xfId="0" applyNumberFormat="1" applyFont="1" applyFill="1" applyBorder="1" applyAlignment="1">
      <alignment horizontal="center" vertical="center"/>
    </xf>
    <xf numFmtId="9" fontId="9" fillId="0" borderId="27" xfId="4" applyFont="1" applyBorder="1" applyAlignment="1">
      <alignment horizontal="center" vertical="center"/>
    </xf>
    <xf numFmtId="166" fontId="9" fillId="4" borderId="27" xfId="4" applyNumberFormat="1" applyFont="1" applyFill="1" applyBorder="1" applyAlignment="1">
      <alignment horizontal="center" vertical="center"/>
    </xf>
    <xf numFmtId="165" fontId="9" fillId="4" borderId="27" xfId="31" applyFont="1" applyFill="1" applyBorder="1" applyAlignment="1">
      <alignment horizontal="center" vertical="center"/>
    </xf>
    <xf numFmtId="2" fontId="9" fillId="4" borderId="27" xfId="0" applyNumberFormat="1" applyFont="1" applyFill="1" applyBorder="1" applyAlignment="1">
      <alignment horizontal="center" vertical="center"/>
    </xf>
    <xf numFmtId="165" fontId="9" fillId="0" borderId="27" xfId="31" applyFont="1" applyBorder="1" applyAlignment="1">
      <alignment vertical="center"/>
    </xf>
    <xf numFmtId="169" fontId="9" fillId="0" borderId="62" xfId="31" applyNumberFormat="1" applyFont="1" applyBorder="1" applyAlignment="1">
      <alignment vertical="center"/>
    </xf>
    <xf numFmtId="165" fontId="9" fillId="0" borderId="1" xfId="6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top" wrapText="1"/>
    </xf>
    <xf numFmtId="0" fontId="9" fillId="0" borderId="63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16" fontId="45" fillId="0" borderId="17" xfId="0" applyNumberFormat="1" applyFont="1" applyBorder="1" applyAlignment="1">
      <alignment horizontal="center" vertical="top" wrapText="1"/>
    </xf>
    <xf numFmtId="2" fontId="45" fillId="0" borderId="1" xfId="0" applyNumberFormat="1" applyFont="1" applyBorder="1" applyAlignment="1">
      <alignment horizontal="center" vertical="center"/>
    </xf>
    <xf numFmtId="2" fontId="45" fillId="0" borderId="1" xfId="0" applyNumberFormat="1" applyFont="1" applyFill="1" applyBorder="1" applyAlignment="1">
      <alignment horizontal="center" vertical="center"/>
    </xf>
    <xf numFmtId="9" fontId="45" fillId="0" borderId="1" xfId="4" applyFont="1" applyBorder="1" applyAlignment="1">
      <alignment horizontal="center" vertical="center"/>
    </xf>
    <xf numFmtId="9" fontId="46" fillId="0" borderId="27" xfId="5" applyFont="1" applyBorder="1" applyAlignment="1">
      <alignment horizontal="center" vertical="center"/>
    </xf>
    <xf numFmtId="2" fontId="46" fillId="0" borderId="1" xfId="1" applyNumberFormat="1" applyFont="1" applyBorder="1" applyAlignment="1">
      <alignment horizontal="center" vertical="center"/>
    </xf>
    <xf numFmtId="165" fontId="45" fillId="4" borderId="1" xfId="31" applyFont="1" applyFill="1" applyBorder="1" applyAlignment="1">
      <alignment horizontal="center" vertical="center"/>
    </xf>
    <xf numFmtId="2" fontId="45" fillId="4" borderId="1" xfId="0" applyNumberFormat="1" applyFont="1" applyFill="1" applyBorder="1" applyAlignment="1">
      <alignment horizontal="center" vertical="center"/>
    </xf>
    <xf numFmtId="165" fontId="45" fillId="0" borderId="1" xfId="31" applyFont="1" applyBorder="1" applyAlignment="1">
      <alignment vertical="center"/>
    </xf>
    <xf numFmtId="169" fontId="45" fillId="0" borderId="23" xfId="31" applyNumberFormat="1" applyFont="1" applyBorder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/>
    <xf numFmtId="9" fontId="9" fillId="4" borderId="1" xfId="4" applyFont="1" applyFill="1" applyBorder="1" applyAlignment="1">
      <alignment horizontal="center" vertical="center"/>
    </xf>
    <xf numFmtId="49" fontId="24" fillId="4" borderId="1" xfId="0" applyNumberFormat="1" applyFont="1" applyFill="1" applyBorder="1" applyAlignment="1">
      <alignment horizontal="center" vertical="top" wrapText="1"/>
    </xf>
    <xf numFmtId="49" fontId="24" fillId="4" borderId="1" xfId="0" applyNumberFormat="1" applyFont="1" applyFill="1" applyBorder="1" applyAlignment="1">
      <alignment horizontal="center"/>
    </xf>
    <xf numFmtId="9" fontId="45" fillId="4" borderId="1" xfId="4" applyFont="1" applyFill="1" applyBorder="1" applyAlignment="1">
      <alignment horizontal="center" vertical="center"/>
    </xf>
    <xf numFmtId="9" fontId="9" fillId="4" borderId="27" xfId="4" applyFont="1" applyFill="1" applyBorder="1" applyAlignment="1">
      <alignment horizontal="center" vertical="center"/>
    </xf>
    <xf numFmtId="0" fontId="41" fillId="0" borderId="0" xfId="40" applyFont="1" applyAlignment="1">
      <alignment horizontal="center" vertical="center"/>
    </xf>
    <xf numFmtId="0" fontId="41" fillId="0" borderId="0" xfId="40" applyFont="1" applyBorder="1" applyAlignment="1">
      <alignment horizontal="center" vertical="center" wrapText="1"/>
    </xf>
    <xf numFmtId="0" fontId="13" fillId="0" borderId="52" xfId="40" applyFont="1" applyBorder="1" applyAlignment="1">
      <alignment horizontal="center" vertical="center" wrapText="1"/>
    </xf>
    <xf numFmtId="0" fontId="13" fillId="0" borderId="53" xfId="40" applyFont="1" applyBorder="1" applyAlignment="1">
      <alignment horizontal="center" vertical="center" wrapText="1"/>
    </xf>
    <xf numFmtId="0" fontId="41" fillId="0" borderId="53" xfId="40" applyFont="1" applyBorder="1" applyAlignment="1">
      <alignment horizontal="center" vertical="center" wrapText="1"/>
    </xf>
    <xf numFmtId="1" fontId="41" fillId="0" borderId="4" xfId="40" applyNumberFormat="1" applyFont="1" applyBorder="1" applyAlignment="1">
      <alignment horizontal="center" vertical="center" shrinkToFit="1"/>
    </xf>
    <xf numFmtId="1" fontId="41" fillId="0" borderId="53" xfId="40" applyNumberFormat="1" applyFont="1" applyBorder="1" applyAlignment="1">
      <alignment horizontal="center" vertical="center" shrinkToFit="1"/>
    </xf>
    <xf numFmtId="171" fontId="41" fillId="0" borderId="14" xfId="43" applyNumberFormat="1" applyFont="1" applyBorder="1" applyAlignment="1">
      <alignment horizontal="center" vertical="center" wrapText="1"/>
    </xf>
    <xf numFmtId="43" fontId="41" fillId="0" borderId="14" xfId="43" applyFont="1" applyFill="1" applyBorder="1" applyAlignment="1">
      <alignment horizontal="center" vertical="center" wrapText="1"/>
    </xf>
    <xf numFmtId="172" fontId="41" fillId="0" borderId="14" xfId="43" applyNumberFormat="1" applyFont="1" applyFill="1" applyBorder="1" applyAlignment="1">
      <alignment horizontal="center" vertical="center" wrapText="1"/>
    </xf>
    <xf numFmtId="0" fontId="41" fillId="0" borderId="21" xfId="40" applyFont="1" applyBorder="1" applyAlignment="1">
      <alignment horizontal="center" vertical="center" wrapText="1"/>
    </xf>
    <xf numFmtId="171" fontId="41" fillId="0" borderId="1" xfId="43" applyNumberFormat="1" applyFont="1" applyBorder="1" applyAlignment="1">
      <alignment horizontal="center" vertical="center" wrapText="1"/>
    </xf>
    <xf numFmtId="43" fontId="41" fillId="0" borderId="1" xfId="43" applyFont="1" applyFill="1" applyBorder="1" applyAlignment="1">
      <alignment horizontal="center" vertical="center" wrapText="1"/>
    </xf>
    <xf numFmtId="172" fontId="41" fillId="0" borderId="1" xfId="43" applyNumberFormat="1" applyFont="1" applyFill="1" applyBorder="1" applyAlignment="1">
      <alignment horizontal="center" vertical="center" wrapText="1"/>
    </xf>
    <xf numFmtId="171" fontId="41" fillId="0" borderId="36" xfId="43" applyNumberFormat="1" applyFont="1" applyBorder="1" applyAlignment="1">
      <alignment horizontal="center" vertical="center" wrapText="1"/>
    </xf>
    <xf numFmtId="43" fontId="41" fillId="0" borderId="36" xfId="43" applyFont="1" applyFill="1" applyBorder="1" applyAlignment="1">
      <alignment horizontal="center" vertical="center" wrapText="1"/>
    </xf>
    <xf numFmtId="172" fontId="41" fillId="0" borderId="36" xfId="43" applyNumberFormat="1" applyFont="1" applyFill="1" applyBorder="1" applyAlignment="1">
      <alignment horizontal="center" vertical="center" wrapText="1"/>
    </xf>
    <xf numFmtId="0" fontId="13" fillId="0" borderId="17" xfId="40" applyFont="1" applyBorder="1" applyAlignment="1">
      <alignment horizontal="center" vertical="center"/>
    </xf>
    <xf numFmtId="43" fontId="41" fillId="0" borderId="1" xfId="43" applyFont="1" applyBorder="1" applyAlignment="1">
      <alignment horizontal="center" vertical="center" wrapText="1"/>
    </xf>
    <xf numFmtId="43" fontId="41" fillId="0" borderId="23" xfId="43" applyFont="1" applyBorder="1" applyAlignment="1">
      <alignment horizontal="center" vertical="center" wrapText="1"/>
    </xf>
    <xf numFmtId="43" fontId="41" fillId="0" borderId="14" xfId="43" applyFont="1" applyBorder="1" applyAlignment="1">
      <alignment horizontal="center" vertical="center" wrapText="1"/>
    </xf>
    <xf numFmtId="43" fontId="41" fillId="0" borderId="15" xfId="43" applyFont="1" applyBorder="1" applyAlignment="1">
      <alignment horizontal="center" vertical="center" wrapText="1"/>
    </xf>
    <xf numFmtId="43" fontId="41" fillId="0" borderId="36" xfId="43" applyFont="1" applyBorder="1" applyAlignment="1">
      <alignment horizontal="center" vertical="center" wrapText="1"/>
    </xf>
    <xf numFmtId="43" fontId="41" fillId="0" borderId="37" xfId="43" applyFont="1" applyBorder="1" applyAlignment="1">
      <alignment horizontal="center" vertical="center" wrapText="1"/>
    </xf>
    <xf numFmtId="0" fontId="42" fillId="0" borderId="0" xfId="40" applyFont="1" applyAlignment="1">
      <alignment horizontal="center" vertical="top" wrapText="1"/>
    </xf>
    <xf numFmtId="10" fontId="42" fillId="0" borderId="15" xfId="4" applyNumberFormat="1" applyFont="1" applyBorder="1" applyAlignment="1">
      <alignment horizontal="center" vertical="center" shrinkToFit="1"/>
    </xf>
    <xf numFmtId="10" fontId="42" fillId="0" borderId="23" xfId="4" applyNumberFormat="1" applyFont="1" applyBorder="1" applyAlignment="1">
      <alignment horizontal="center" vertical="center" shrinkToFit="1"/>
    </xf>
    <xf numFmtId="10" fontId="42" fillId="0" borderId="37" xfId="4" applyNumberFormat="1" applyFont="1" applyBorder="1" applyAlignment="1">
      <alignment horizontal="center" vertical="center" shrinkToFit="1"/>
    </xf>
    <xf numFmtId="10" fontId="42" fillId="0" borderId="65" xfId="4" applyNumberFormat="1" applyFont="1" applyBorder="1" applyAlignment="1">
      <alignment horizontal="center" vertical="center" shrinkToFit="1"/>
    </xf>
    <xf numFmtId="0" fontId="42" fillId="0" borderId="13" xfId="40" applyFont="1" applyBorder="1" applyAlignment="1">
      <alignment horizontal="center" vertical="top"/>
    </xf>
    <xf numFmtId="0" fontId="9" fillId="0" borderId="14" xfId="40" applyFont="1" applyBorder="1" applyAlignment="1">
      <alignment horizontal="left" vertical="top" wrapText="1"/>
    </xf>
    <xf numFmtId="1" fontId="42" fillId="0" borderId="14" xfId="40" applyNumberFormat="1" applyFont="1" applyBorder="1" applyAlignment="1">
      <alignment horizontal="center" vertical="center" shrinkToFit="1"/>
    </xf>
    <xf numFmtId="0" fontId="41" fillId="0" borderId="0" xfId="40" applyFont="1" applyAlignment="1">
      <alignment horizontal="left" vertical="center"/>
    </xf>
    <xf numFmtId="1" fontId="41" fillId="0" borderId="5" xfId="40" applyNumberFormat="1" applyFont="1" applyBorder="1" applyAlignment="1">
      <alignment horizontal="left" vertical="center" shrinkToFit="1"/>
    </xf>
    <xf numFmtId="0" fontId="47" fillId="0" borderId="0" xfId="44"/>
    <xf numFmtId="43" fontId="41" fillId="0" borderId="14" xfId="43" applyFont="1" applyBorder="1" applyAlignment="1">
      <alignment vertical="center" wrapText="1"/>
    </xf>
    <xf numFmtId="43" fontId="41" fillId="0" borderId="15" xfId="43" applyFont="1" applyBorder="1" applyAlignment="1">
      <alignment vertical="center" wrapText="1"/>
    </xf>
    <xf numFmtId="43" fontId="41" fillId="0" borderId="23" xfId="43" applyFont="1" applyBorder="1" applyAlignment="1">
      <alignment vertical="center" wrapText="1"/>
    </xf>
    <xf numFmtId="171" fontId="41" fillId="0" borderId="16" xfId="43" applyNumberFormat="1" applyFont="1" applyBorder="1" applyAlignment="1">
      <alignment horizontal="center" vertical="center" wrapText="1"/>
    </xf>
    <xf numFmtId="43" fontId="41" fillId="0" borderId="16" xfId="43" applyFont="1" applyBorder="1" applyAlignment="1">
      <alignment horizontal="center" vertical="center" wrapText="1"/>
    </xf>
    <xf numFmtId="43" fontId="41" fillId="0" borderId="16" xfId="43" applyFont="1" applyFill="1" applyBorder="1" applyAlignment="1">
      <alignment horizontal="center" vertical="center" wrapText="1"/>
    </xf>
    <xf numFmtId="172" fontId="41" fillId="0" borderId="16" xfId="43" applyNumberFormat="1" applyFont="1" applyFill="1" applyBorder="1" applyAlignment="1">
      <alignment horizontal="center" vertical="center" wrapText="1"/>
    </xf>
    <xf numFmtId="0" fontId="41" fillId="0" borderId="13" xfId="40" applyFont="1" applyBorder="1" applyAlignment="1">
      <alignment horizontal="center" vertical="center" wrapText="1"/>
    </xf>
    <xf numFmtId="0" fontId="41" fillId="0" borderId="19" xfId="40" applyFont="1" applyBorder="1" applyAlignment="1">
      <alignment horizontal="center" vertical="center" wrapText="1"/>
    </xf>
    <xf numFmtId="43" fontId="41" fillId="0" borderId="36" xfId="43" applyFont="1" applyBorder="1" applyAlignment="1">
      <alignment vertical="center" wrapText="1"/>
    </xf>
    <xf numFmtId="43" fontId="41" fillId="0" borderId="37" xfId="43" applyFont="1" applyBorder="1" applyAlignment="1">
      <alignment vertical="center" wrapText="1"/>
    </xf>
    <xf numFmtId="43" fontId="41" fillId="0" borderId="14" xfId="43" applyNumberFormat="1" applyFont="1" applyBorder="1" applyAlignment="1">
      <alignment horizontal="center" vertical="center" wrapText="1"/>
    </xf>
    <xf numFmtId="43" fontId="41" fillId="0" borderId="36" xfId="43" applyNumberFormat="1" applyFont="1" applyBorder="1" applyAlignment="1">
      <alignment horizontal="center" vertical="center" wrapText="1"/>
    </xf>
    <xf numFmtId="0" fontId="13" fillId="0" borderId="1" xfId="40" applyFont="1" applyBorder="1" applyAlignment="1">
      <alignment vertical="center" wrapText="1"/>
    </xf>
    <xf numFmtId="0" fontId="41" fillId="0" borderId="52" xfId="40" applyFont="1" applyBorder="1" applyAlignment="1">
      <alignment horizontal="center" vertical="center" wrapText="1"/>
    </xf>
    <xf numFmtId="0" fontId="41" fillId="0" borderId="53" xfId="40" applyFont="1" applyBorder="1" applyAlignment="1">
      <alignment horizontal="left" vertical="center" wrapText="1"/>
    </xf>
    <xf numFmtId="171" fontId="41" fillId="0" borderId="53" xfId="43" applyNumberFormat="1" applyFont="1" applyBorder="1" applyAlignment="1">
      <alignment horizontal="center" vertical="center" wrapText="1"/>
    </xf>
    <xf numFmtId="43" fontId="41" fillId="0" borderId="53" xfId="43" applyNumberFormat="1" applyFont="1" applyBorder="1" applyAlignment="1">
      <alignment horizontal="center" vertical="center" wrapText="1"/>
    </xf>
    <xf numFmtId="43" fontId="41" fillId="0" borderId="53" xfId="43" applyFont="1" applyBorder="1" applyAlignment="1">
      <alignment horizontal="center" vertical="center" wrapText="1"/>
    </xf>
    <xf numFmtId="172" fontId="41" fillId="0" borderId="53" xfId="43" applyNumberFormat="1" applyFont="1" applyFill="1" applyBorder="1" applyAlignment="1">
      <alignment horizontal="center" vertical="center" wrapText="1"/>
    </xf>
    <xf numFmtId="43" fontId="41" fillId="0" borderId="53" xfId="43" applyFont="1" applyFill="1" applyBorder="1" applyAlignment="1">
      <alignment horizontal="center" vertical="center" wrapText="1"/>
    </xf>
    <xf numFmtId="0" fontId="41" fillId="0" borderId="0" xfId="40" applyFont="1" applyBorder="1" applyAlignment="1">
      <alignment horizontal="left" vertical="center" wrapText="1"/>
    </xf>
    <xf numFmtId="1" fontId="41" fillId="0" borderId="52" xfId="40" applyNumberFormat="1" applyFont="1" applyBorder="1" applyAlignment="1">
      <alignment horizontal="left" vertical="center" shrinkToFit="1"/>
    </xf>
    <xf numFmtId="43" fontId="41" fillId="0" borderId="53" xfId="43" applyNumberFormat="1" applyFont="1" applyBorder="1" applyAlignment="1">
      <alignment vertical="center" wrapText="1"/>
    </xf>
    <xf numFmtId="43" fontId="41" fillId="0" borderId="14" xfId="43" applyNumberFormat="1" applyFont="1" applyBorder="1" applyAlignment="1">
      <alignment vertical="center" wrapText="1"/>
    </xf>
    <xf numFmtId="171" fontId="41" fillId="0" borderId="40" xfId="43" applyNumberFormat="1" applyFont="1" applyBorder="1" applyAlignment="1">
      <alignment horizontal="center" vertical="center" wrapText="1"/>
    </xf>
    <xf numFmtId="43" fontId="41" fillId="0" borderId="40" xfId="43" applyNumberFormat="1" applyFont="1" applyBorder="1" applyAlignment="1">
      <alignment horizontal="center" vertical="center" wrapText="1"/>
    </xf>
    <xf numFmtId="43" fontId="41" fillId="0" borderId="40" xfId="43" applyFont="1" applyBorder="1" applyAlignment="1">
      <alignment horizontal="center" vertical="center" wrapText="1"/>
    </xf>
    <xf numFmtId="172" fontId="41" fillId="0" borderId="40" xfId="43" applyNumberFormat="1" applyFont="1" applyFill="1" applyBorder="1" applyAlignment="1">
      <alignment horizontal="center" vertical="center" wrapText="1"/>
    </xf>
    <xf numFmtId="43" fontId="41" fillId="0" borderId="40" xfId="43" applyFont="1" applyFill="1" applyBorder="1" applyAlignment="1">
      <alignment horizontal="center" vertical="center" wrapText="1"/>
    </xf>
    <xf numFmtId="43" fontId="41" fillId="0" borderId="15" xfId="43" applyNumberFormat="1" applyFont="1" applyBorder="1" applyAlignment="1">
      <alignment vertical="center" wrapText="1"/>
    </xf>
    <xf numFmtId="43" fontId="41" fillId="0" borderId="54" xfId="43" applyNumberFormat="1" applyFont="1" applyBorder="1" applyAlignment="1">
      <alignment vertical="center" wrapText="1"/>
    </xf>
    <xf numFmtId="0" fontId="48" fillId="0" borderId="0" xfId="40" applyFont="1" applyAlignment="1">
      <alignment horizontal="center" vertical="center"/>
    </xf>
    <xf numFmtId="0" fontId="13" fillId="0" borderId="16" xfId="40" applyFont="1" applyBorder="1" applyAlignment="1">
      <alignment vertical="center" wrapText="1"/>
    </xf>
    <xf numFmtId="43" fontId="41" fillId="0" borderId="30" xfId="43" applyFont="1" applyBorder="1" applyAlignment="1">
      <alignment vertical="center" wrapText="1"/>
    </xf>
    <xf numFmtId="0" fontId="13" fillId="0" borderId="14" xfId="40" applyFont="1" applyBorder="1" applyAlignment="1">
      <alignment vertical="center" wrapText="1"/>
    </xf>
    <xf numFmtId="0" fontId="13" fillId="0" borderId="36" xfId="40" applyFont="1" applyBorder="1" applyAlignment="1">
      <alignment vertical="center" wrapText="1"/>
    </xf>
    <xf numFmtId="0" fontId="13" fillId="0" borderId="38" xfId="40" applyFont="1" applyBorder="1" applyAlignment="1">
      <alignment horizontal="center" vertical="center"/>
    </xf>
    <xf numFmtId="0" fontId="13" fillId="0" borderId="40" xfId="40" applyFont="1" applyBorder="1" applyAlignment="1">
      <alignment horizontal="left" vertical="center" wrapText="1"/>
    </xf>
    <xf numFmtId="43" fontId="41" fillId="0" borderId="51" xfId="43" applyFont="1" applyBorder="1" applyAlignment="1">
      <alignment horizontal="center" vertical="center" wrapText="1"/>
    </xf>
    <xf numFmtId="43" fontId="41" fillId="0" borderId="1" xfId="43" applyNumberFormat="1" applyFont="1" applyBorder="1" applyAlignment="1">
      <alignment horizontal="center" vertical="center" wrapText="1"/>
    </xf>
    <xf numFmtId="0" fontId="49" fillId="0" borderId="53" xfId="0" applyFont="1" applyBorder="1" applyAlignment="1">
      <alignment horizontal="left" vertical="top" wrapText="1"/>
    </xf>
    <xf numFmtId="171" fontId="48" fillId="0" borderId="53" xfId="43" applyNumberFormat="1" applyFont="1" applyBorder="1" applyAlignment="1">
      <alignment horizontal="center" vertical="center" wrapText="1"/>
    </xf>
    <xf numFmtId="43" fontId="48" fillId="0" borderId="53" xfId="43" applyNumberFormat="1" applyFont="1" applyBorder="1" applyAlignment="1">
      <alignment horizontal="center" vertical="center" wrapText="1"/>
    </xf>
    <xf numFmtId="43" fontId="48" fillId="0" borderId="53" xfId="43" applyFont="1" applyBorder="1" applyAlignment="1">
      <alignment horizontal="center" vertical="center" wrapText="1"/>
    </xf>
    <xf numFmtId="172" fontId="48" fillId="0" borderId="53" xfId="43" applyNumberFormat="1" applyFont="1" applyFill="1" applyBorder="1" applyAlignment="1">
      <alignment horizontal="center" vertical="center" wrapText="1"/>
    </xf>
    <xf numFmtId="43" fontId="48" fillId="0" borderId="53" xfId="43" applyFont="1" applyFill="1" applyBorder="1" applyAlignment="1">
      <alignment horizontal="center" vertical="center" wrapText="1"/>
    </xf>
    <xf numFmtId="9" fontId="48" fillId="0" borderId="53" xfId="43" applyNumberFormat="1" applyFont="1" applyBorder="1" applyAlignment="1">
      <alignment horizontal="center" vertical="center" wrapText="1"/>
    </xf>
    <xf numFmtId="43" fontId="48" fillId="0" borderId="53" xfId="43" applyNumberFormat="1" applyFont="1" applyBorder="1" applyAlignment="1">
      <alignment vertical="center" wrapText="1"/>
    </xf>
    <xf numFmtId="43" fontId="48" fillId="0" borderId="54" xfId="43" applyFont="1" applyBorder="1" applyAlignment="1">
      <alignment vertical="center" wrapText="1"/>
    </xf>
    <xf numFmtId="43" fontId="41" fillId="0" borderId="1" xfId="43" applyNumberFormat="1" applyFont="1" applyBorder="1" applyAlignment="1">
      <alignment vertical="center" wrapText="1"/>
    </xf>
    <xf numFmtId="0" fontId="41" fillId="0" borderId="17" xfId="40" applyFont="1" applyBorder="1" applyAlignment="1">
      <alignment horizontal="center" vertical="center" wrapText="1"/>
    </xf>
    <xf numFmtId="43" fontId="41" fillId="0" borderId="36" xfId="43" applyNumberFormat="1" applyFont="1" applyBorder="1" applyAlignment="1">
      <alignment vertical="center" wrapText="1"/>
    </xf>
    <xf numFmtId="171" fontId="41" fillId="0" borderId="32" xfId="43" applyNumberFormat="1" applyFont="1" applyBorder="1" applyAlignment="1">
      <alignment horizontal="center" vertical="center" wrapText="1"/>
    </xf>
    <xf numFmtId="43" fontId="41" fillId="0" borderId="32" xfId="43" applyFont="1" applyBorder="1" applyAlignment="1">
      <alignment horizontal="center" vertical="center" wrapText="1"/>
    </xf>
    <xf numFmtId="172" fontId="41" fillId="0" borderId="32" xfId="43" applyNumberFormat="1" applyFont="1" applyFill="1" applyBorder="1" applyAlignment="1">
      <alignment horizontal="center" vertical="center" wrapText="1"/>
    </xf>
    <xf numFmtId="43" fontId="41" fillId="0" borderId="32" xfId="43" applyFont="1" applyFill="1" applyBorder="1" applyAlignment="1">
      <alignment horizontal="center" vertical="center" wrapText="1"/>
    </xf>
    <xf numFmtId="43" fontId="41" fillId="0" borderId="16" xfId="43" applyNumberFormat="1" applyFont="1" applyBorder="1" applyAlignment="1">
      <alignment horizontal="center" vertical="center" wrapText="1"/>
    </xf>
    <xf numFmtId="43" fontId="41" fillId="0" borderId="16" xfId="43" applyNumberFormat="1" applyFont="1" applyBorder="1" applyAlignment="1">
      <alignment vertical="center" wrapText="1"/>
    </xf>
    <xf numFmtId="0" fontId="41" fillId="0" borderId="33" xfId="40" applyFont="1" applyBorder="1" applyAlignment="1">
      <alignment horizontal="center" vertical="center" wrapText="1"/>
    </xf>
    <xf numFmtId="0" fontId="13" fillId="0" borderId="32" xfId="40" applyFont="1" applyBorder="1" applyAlignment="1">
      <alignment vertical="center" wrapText="1"/>
    </xf>
    <xf numFmtId="43" fontId="41" fillId="0" borderId="32" xfId="43" applyNumberFormat="1" applyFont="1" applyBorder="1" applyAlignment="1">
      <alignment horizontal="center" vertical="center" wrapText="1"/>
    </xf>
    <xf numFmtId="43" fontId="41" fillId="0" borderId="32" xfId="43" applyNumberFormat="1" applyFont="1" applyBorder="1" applyAlignment="1">
      <alignment vertical="center" wrapText="1"/>
    </xf>
    <xf numFmtId="43" fontId="41" fillId="0" borderId="35" xfId="43" applyFont="1" applyBorder="1" applyAlignment="1">
      <alignment vertical="center" wrapText="1"/>
    </xf>
    <xf numFmtId="0" fontId="41" fillId="0" borderId="18" xfId="40" applyFont="1" applyBorder="1" applyAlignment="1">
      <alignment horizontal="center" vertical="center" wrapText="1"/>
    </xf>
    <xf numFmtId="0" fontId="41" fillId="0" borderId="26" xfId="40" applyFont="1" applyBorder="1" applyAlignment="1">
      <alignment horizontal="center" vertical="center" wrapText="1"/>
    </xf>
    <xf numFmtId="0" fontId="41" fillId="0" borderId="7" xfId="40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41" fillId="0" borderId="14" xfId="0" applyFont="1" applyBorder="1" applyAlignment="1">
      <alignment vertical="center" wrapText="1"/>
    </xf>
    <xf numFmtId="0" fontId="41" fillId="0" borderId="36" xfId="0" applyFont="1" applyBorder="1" applyAlignment="1">
      <alignment vertical="center" wrapText="1"/>
    </xf>
    <xf numFmtId="0" fontId="13" fillId="0" borderId="33" xfId="40" applyFont="1" applyBorder="1" applyAlignment="1">
      <alignment horizontal="center" vertical="center"/>
    </xf>
    <xf numFmtId="0" fontId="41" fillId="0" borderId="32" xfId="0" applyFont="1" applyBorder="1" applyAlignment="1">
      <alignment vertical="center" wrapText="1"/>
    </xf>
    <xf numFmtId="43" fontId="41" fillId="0" borderId="35" xfId="43" applyFont="1" applyBorder="1" applyAlignment="1">
      <alignment horizontal="center" vertical="center" wrapText="1"/>
    </xf>
    <xf numFmtId="165" fontId="9" fillId="0" borderId="24" xfId="31" applyFont="1" applyBorder="1" applyAlignment="1">
      <alignment horizontal="center" vertical="center"/>
    </xf>
    <xf numFmtId="165" fontId="45" fillId="0" borderId="24" xfId="31" applyFont="1" applyBorder="1" applyAlignment="1">
      <alignment horizontal="center" vertical="center"/>
    </xf>
    <xf numFmtId="170" fontId="9" fillId="0" borderId="23" xfId="6" applyNumberFormat="1" applyFont="1" applyBorder="1" applyAlignment="1">
      <alignment horizontal="center" vertical="center"/>
    </xf>
    <xf numFmtId="16" fontId="9" fillId="0" borderId="7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2" fontId="9" fillId="0" borderId="8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41" fillId="0" borderId="0" xfId="40" applyFont="1" applyFill="1" applyBorder="1" applyAlignment="1">
      <alignment horizontal="center" vertical="center" wrapText="1"/>
    </xf>
    <xf numFmtId="0" fontId="41" fillId="0" borderId="53" xfId="40" applyFont="1" applyFill="1" applyBorder="1" applyAlignment="1">
      <alignment horizontal="center" vertical="center" wrapText="1"/>
    </xf>
    <xf numFmtId="43" fontId="41" fillId="0" borderId="14" xfId="43" applyNumberFormat="1" applyFont="1" applyFill="1" applyBorder="1" applyAlignment="1">
      <alignment vertical="center" wrapText="1"/>
    </xf>
    <xf numFmtId="43" fontId="41" fillId="0" borderId="36" xfId="43" applyFont="1" applyFill="1" applyBorder="1" applyAlignment="1">
      <alignment vertical="center" wrapText="1"/>
    </xf>
    <xf numFmtId="43" fontId="41" fillId="0" borderId="53" xfId="43" applyNumberFormat="1" applyFont="1" applyFill="1" applyBorder="1" applyAlignment="1">
      <alignment vertical="center" wrapText="1"/>
    </xf>
    <xf numFmtId="43" fontId="41" fillId="0" borderId="14" xfId="43" applyFont="1" applyFill="1" applyBorder="1" applyAlignment="1">
      <alignment vertical="center" wrapText="1"/>
    </xf>
    <xf numFmtId="43" fontId="41" fillId="0" borderId="1" xfId="43" applyFont="1" applyFill="1" applyBorder="1" applyAlignment="1">
      <alignment vertical="center" wrapText="1"/>
    </xf>
    <xf numFmtId="43" fontId="48" fillId="0" borderId="53" xfId="43" applyFont="1" applyFill="1" applyBorder="1" applyAlignment="1">
      <alignment vertical="center" wrapText="1"/>
    </xf>
    <xf numFmtId="43" fontId="41" fillId="0" borderId="16" xfId="43" applyFont="1" applyFill="1" applyBorder="1" applyAlignment="1">
      <alignment vertical="center" wrapText="1"/>
    </xf>
    <xf numFmtId="43" fontId="41" fillId="0" borderId="32" xfId="43" applyFont="1" applyFill="1" applyBorder="1" applyAlignment="1">
      <alignment vertical="center" wrapText="1"/>
    </xf>
    <xf numFmtId="0" fontId="41" fillId="0" borderId="0" xfId="40" applyFont="1" applyFill="1" applyAlignment="1">
      <alignment horizontal="center" vertical="center"/>
    </xf>
    <xf numFmtId="0" fontId="48" fillId="0" borderId="0" xfId="4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3" xfId="40" applyFont="1" applyFill="1" applyBorder="1" applyAlignment="1">
      <alignment horizontal="center" vertical="center" wrapText="1"/>
    </xf>
    <xf numFmtId="1" fontId="41" fillId="0" borderId="53" xfId="40" applyNumberFormat="1" applyFont="1" applyFill="1" applyBorder="1" applyAlignment="1">
      <alignment horizontal="center" vertical="center" shrinkToFit="1"/>
    </xf>
    <xf numFmtId="0" fontId="41" fillId="0" borderId="14" xfId="43" applyNumberFormat="1" applyFont="1" applyFill="1" applyBorder="1" applyAlignment="1">
      <alignment horizontal="center" vertical="center" wrapText="1"/>
    </xf>
    <xf numFmtId="1" fontId="41" fillId="0" borderId="36" xfId="43" applyNumberFormat="1" applyFont="1" applyFill="1" applyBorder="1" applyAlignment="1">
      <alignment horizontal="center" vertical="center" wrapText="1"/>
    </xf>
    <xf numFmtId="0" fontId="41" fillId="0" borderId="53" xfId="43" applyNumberFormat="1" applyFont="1" applyFill="1" applyBorder="1" applyAlignment="1">
      <alignment horizontal="center" vertical="center" wrapText="1"/>
    </xf>
    <xf numFmtId="0" fontId="41" fillId="0" borderId="36" xfId="43" applyNumberFormat="1" applyFont="1" applyFill="1" applyBorder="1" applyAlignment="1">
      <alignment horizontal="center" vertical="center" wrapText="1"/>
    </xf>
    <xf numFmtId="0" fontId="41" fillId="0" borderId="40" xfId="43" applyNumberFormat="1" applyFont="1" applyFill="1" applyBorder="1" applyAlignment="1">
      <alignment horizontal="center" vertical="center" wrapText="1"/>
    </xf>
    <xf numFmtId="0" fontId="41" fillId="0" borderId="1" xfId="43" applyNumberFormat="1" applyFont="1" applyFill="1" applyBorder="1" applyAlignment="1">
      <alignment horizontal="center" vertical="center" wrapText="1"/>
    </xf>
    <xf numFmtId="0" fontId="48" fillId="0" borderId="53" xfId="43" applyNumberFormat="1" applyFont="1" applyFill="1" applyBorder="1" applyAlignment="1">
      <alignment horizontal="center" vertical="center" wrapText="1"/>
    </xf>
    <xf numFmtId="0" fontId="41" fillId="0" borderId="16" xfId="43" applyNumberFormat="1" applyFont="1" applyFill="1" applyBorder="1" applyAlignment="1">
      <alignment horizontal="center" vertical="center" wrapText="1"/>
    </xf>
    <xf numFmtId="0" fontId="41" fillId="0" borderId="32" xfId="43" applyNumberFormat="1" applyFont="1" applyFill="1" applyBorder="1" applyAlignment="1">
      <alignment horizontal="center" vertical="center" wrapText="1"/>
    </xf>
    <xf numFmtId="166" fontId="41" fillId="0" borderId="14" xfId="43" applyNumberFormat="1" applyFont="1" applyBorder="1" applyAlignment="1">
      <alignment horizontal="center" vertical="center" wrapText="1"/>
    </xf>
    <xf numFmtId="166" fontId="41" fillId="0" borderId="36" xfId="43" applyNumberFormat="1" applyFont="1" applyBorder="1" applyAlignment="1">
      <alignment horizontal="center" vertical="center" wrapText="1"/>
    </xf>
    <xf numFmtId="166" fontId="41" fillId="0" borderId="53" xfId="43" applyNumberFormat="1" applyFont="1" applyBorder="1" applyAlignment="1">
      <alignment horizontal="center" vertical="center" wrapText="1"/>
    </xf>
    <xf numFmtId="166" fontId="41" fillId="0" borderId="40" xfId="43" applyNumberFormat="1" applyFont="1" applyBorder="1" applyAlignment="1">
      <alignment horizontal="center" vertical="center" wrapText="1"/>
    </xf>
    <xf numFmtId="166" fontId="41" fillId="0" borderId="1" xfId="43" applyNumberFormat="1" applyFont="1" applyBorder="1" applyAlignment="1">
      <alignment horizontal="center" vertical="center" wrapText="1"/>
    </xf>
    <xf numFmtId="166" fontId="41" fillId="0" borderId="16" xfId="43" applyNumberFormat="1" applyFont="1" applyBorder="1" applyAlignment="1">
      <alignment horizontal="center" vertical="center" wrapText="1"/>
    </xf>
    <xf numFmtId="166" fontId="41" fillId="0" borderId="32" xfId="43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72" fontId="41" fillId="0" borderId="14" xfId="43" applyNumberFormat="1" applyFont="1" applyBorder="1" applyAlignment="1">
      <alignment vertical="center" wrapText="1"/>
    </xf>
    <xf numFmtId="165" fontId="9" fillId="0" borderId="24" xfId="31" applyNumberFormat="1" applyFont="1" applyBorder="1" applyAlignment="1">
      <alignment horizontal="center" vertical="center"/>
    </xf>
    <xf numFmtId="0" fontId="41" fillId="0" borderId="63" xfId="40" applyFont="1" applyBorder="1" applyAlignment="1">
      <alignment horizontal="center" vertical="center" wrapText="1"/>
    </xf>
    <xf numFmtId="0" fontId="41" fillId="0" borderId="16" xfId="0" applyFont="1" applyBorder="1" applyAlignment="1">
      <alignment vertical="center" wrapText="1"/>
    </xf>
    <xf numFmtId="10" fontId="41" fillId="0" borderId="14" xfId="43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9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 indent="3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9" applyNumberFormat="1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14" fillId="0" borderId="16" xfId="0" applyFont="1" applyFill="1" applyBorder="1" applyAlignment="1">
      <alignment vertical="top" wrapText="1"/>
    </xf>
    <xf numFmtId="0" fontId="14" fillId="0" borderId="16" xfId="0" applyFont="1" applyFill="1" applyBorder="1" applyAlignment="1">
      <alignment horizontal="center" vertical="center" wrapText="1"/>
    </xf>
    <xf numFmtId="165" fontId="14" fillId="0" borderId="16" xfId="9" applyNumberFormat="1" applyFont="1" applyBorder="1" applyAlignment="1">
      <alignment horizontal="center" vertical="center"/>
    </xf>
    <xf numFmtId="49" fontId="9" fillId="0" borderId="52" xfId="0" applyNumberFormat="1" applyFont="1" applyFill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top" wrapText="1"/>
    </xf>
    <xf numFmtId="165" fontId="14" fillId="0" borderId="30" xfId="9" applyNumberFormat="1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top" wrapText="1"/>
    </xf>
    <xf numFmtId="165" fontId="9" fillId="0" borderId="23" xfId="9" applyNumberFormat="1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0" fontId="9" fillId="0" borderId="36" xfId="0" applyFont="1" applyFill="1" applyBorder="1" applyAlignment="1">
      <alignment horizontal="left" vertical="top" wrapText="1" indent="3"/>
    </xf>
    <xf numFmtId="0" fontId="9" fillId="0" borderId="36" xfId="0" applyFont="1" applyFill="1" applyBorder="1" applyAlignment="1">
      <alignment horizontal="center" vertical="center" wrapText="1"/>
    </xf>
    <xf numFmtId="165" fontId="9" fillId="0" borderId="36" xfId="9" applyNumberFormat="1" applyFont="1" applyBorder="1" applyAlignment="1">
      <alignment horizontal="center" vertical="center"/>
    </xf>
    <xf numFmtId="165" fontId="9" fillId="0" borderId="37" xfId="9" applyNumberFormat="1" applyFont="1" applyBorder="1" applyAlignment="1">
      <alignment horizontal="center" vertical="center"/>
    </xf>
    <xf numFmtId="2" fontId="9" fillId="0" borderId="17" xfId="0" applyNumberFormat="1" applyFont="1" applyFill="1" applyBorder="1" applyAlignment="1">
      <alignment horizontal="center" vertical="top" wrapText="1"/>
    </xf>
    <xf numFmtId="1" fontId="41" fillId="0" borderId="54" xfId="40" applyNumberFormat="1" applyFont="1" applyBorder="1" applyAlignment="1">
      <alignment horizontal="center" vertical="center" shrinkToFit="1"/>
    </xf>
    <xf numFmtId="166" fontId="41" fillId="0" borderId="53" xfId="42" applyNumberFormat="1" applyFont="1" applyBorder="1" applyAlignment="1">
      <alignment horizontal="center" vertical="center" shrinkToFit="1"/>
    </xf>
    <xf numFmtId="9" fontId="41" fillId="0" borderId="53" xfId="42" applyFont="1" applyBorder="1" applyAlignment="1">
      <alignment horizontal="center" vertical="center" shrinkToFit="1"/>
    </xf>
    <xf numFmtId="10" fontId="41" fillId="0" borderId="53" xfId="42" applyNumberFormat="1" applyFont="1" applyFill="1" applyBorder="1" applyAlignment="1">
      <alignment horizontal="center" vertical="center" shrinkToFit="1"/>
    </xf>
    <xf numFmtId="0" fontId="13" fillId="0" borderId="5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0" xfId="0" applyFont="1" applyFill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166" fontId="13" fillId="0" borderId="4" xfId="4" applyNumberFormat="1" applyFont="1" applyFill="1" applyBorder="1" applyAlignment="1">
      <alignment horizontal="center"/>
    </xf>
    <xf numFmtId="171" fontId="41" fillId="0" borderId="14" xfId="6" applyNumberFormat="1" applyFont="1" applyFill="1" applyBorder="1" applyAlignment="1">
      <alignment horizontal="center" vertical="center" wrapText="1"/>
    </xf>
    <xf numFmtId="165" fontId="41" fillId="0" borderId="14" xfId="6" applyFont="1" applyBorder="1" applyAlignment="1">
      <alignment horizontal="center" vertical="center" wrapText="1"/>
    </xf>
    <xf numFmtId="171" fontId="41" fillId="0" borderId="36" xfId="6" applyNumberFormat="1" applyFont="1" applyFill="1" applyBorder="1" applyAlignment="1">
      <alignment horizontal="center" vertical="center" wrapText="1"/>
    </xf>
    <xf numFmtId="165" fontId="41" fillId="0" borderId="36" xfId="6" applyFont="1" applyBorder="1" applyAlignment="1">
      <alignment horizontal="center" vertical="center" wrapText="1"/>
    </xf>
    <xf numFmtId="171" fontId="41" fillId="0" borderId="53" xfId="6" applyNumberFormat="1" applyFont="1" applyFill="1" applyBorder="1" applyAlignment="1">
      <alignment horizontal="center" vertical="center" wrapText="1"/>
    </xf>
    <xf numFmtId="165" fontId="41" fillId="0" borderId="53" xfId="6" applyFont="1" applyBorder="1" applyAlignment="1">
      <alignment horizontal="center" vertical="center" wrapText="1"/>
    </xf>
    <xf numFmtId="171" fontId="41" fillId="0" borderId="40" xfId="6" applyNumberFormat="1" applyFont="1" applyFill="1" applyBorder="1" applyAlignment="1">
      <alignment horizontal="center" vertical="center" wrapText="1"/>
    </xf>
    <xf numFmtId="165" fontId="41" fillId="0" borderId="40" xfId="6" applyFont="1" applyBorder="1" applyAlignment="1">
      <alignment horizontal="center" vertical="center" wrapText="1"/>
    </xf>
    <xf numFmtId="171" fontId="41" fillId="0" borderId="1" xfId="6" applyNumberFormat="1" applyFont="1" applyFill="1" applyBorder="1" applyAlignment="1">
      <alignment horizontal="center" vertical="center" wrapText="1"/>
    </xf>
    <xf numFmtId="165" fontId="41" fillId="0" borderId="1" xfId="6" applyFont="1" applyBorder="1" applyAlignment="1">
      <alignment horizontal="center" vertical="center" wrapText="1"/>
    </xf>
    <xf numFmtId="171" fontId="48" fillId="0" borderId="53" xfId="6" applyNumberFormat="1" applyFont="1" applyFill="1" applyBorder="1" applyAlignment="1">
      <alignment horizontal="center" vertical="center" wrapText="1"/>
    </xf>
    <xf numFmtId="165" fontId="48" fillId="0" borderId="53" xfId="6" applyFont="1" applyBorder="1" applyAlignment="1">
      <alignment horizontal="center" vertical="center" wrapText="1"/>
    </xf>
    <xf numFmtId="171" fontId="41" fillId="0" borderId="16" xfId="6" applyNumberFormat="1" applyFont="1" applyFill="1" applyBorder="1" applyAlignment="1">
      <alignment horizontal="center" vertical="center" wrapText="1"/>
    </xf>
    <xf numFmtId="165" fontId="41" fillId="0" borderId="16" xfId="6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1" fillId="0" borderId="71" xfId="40" applyFont="1" applyBorder="1" applyAlignment="1">
      <alignment horizontal="center" vertical="center" wrapText="1"/>
    </xf>
    <xf numFmtId="0" fontId="13" fillId="0" borderId="64" xfId="0" applyFont="1" applyBorder="1" applyAlignment="1">
      <alignment horizontal="left" vertical="center" wrapText="1"/>
    </xf>
    <xf numFmtId="0" fontId="41" fillId="0" borderId="64" xfId="43" applyNumberFormat="1" applyFont="1" applyFill="1" applyBorder="1" applyAlignment="1">
      <alignment horizontal="center" vertical="center" wrapText="1"/>
    </xf>
    <xf numFmtId="171" fontId="41" fillId="0" borderId="64" xfId="43" applyNumberFormat="1" applyFont="1" applyBorder="1" applyAlignment="1">
      <alignment horizontal="center" vertical="center" wrapText="1"/>
    </xf>
    <xf numFmtId="43" fontId="41" fillId="0" borderId="64" xfId="43" applyNumberFormat="1" applyFont="1" applyBorder="1" applyAlignment="1">
      <alignment horizontal="center" vertical="center" wrapText="1"/>
    </xf>
    <xf numFmtId="43" fontId="41" fillId="0" borderId="64" xfId="43" applyFont="1" applyBorder="1" applyAlignment="1">
      <alignment horizontal="center" vertical="center" wrapText="1"/>
    </xf>
    <xf numFmtId="171" fontId="41" fillId="0" borderId="64" xfId="6" applyNumberFormat="1" applyFont="1" applyFill="1" applyBorder="1" applyAlignment="1">
      <alignment horizontal="center" vertical="center" wrapText="1"/>
    </xf>
    <xf numFmtId="172" fontId="41" fillId="0" borderId="64" xfId="43" applyNumberFormat="1" applyFont="1" applyFill="1" applyBorder="1" applyAlignment="1">
      <alignment horizontal="center" vertical="center" wrapText="1"/>
    </xf>
    <xf numFmtId="43" fontId="41" fillId="0" borderId="64" xfId="43" applyFont="1" applyFill="1" applyBorder="1" applyAlignment="1">
      <alignment horizontal="center" vertical="center" wrapText="1"/>
    </xf>
    <xf numFmtId="165" fontId="41" fillId="0" borderId="64" xfId="6" applyFont="1" applyBorder="1" applyAlignment="1">
      <alignment horizontal="center" vertical="center" wrapText="1"/>
    </xf>
    <xf numFmtId="166" fontId="41" fillId="0" borderId="64" xfId="43" applyNumberFormat="1" applyFont="1" applyBorder="1" applyAlignment="1">
      <alignment horizontal="center" vertical="center" wrapText="1"/>
    </xf>
    <xf numFmtId="43" fontId="41" fillId="0" borderId="64" xfId="43" applyFont="1" applyBorder="1" applyAlignment="1">
      <alignment vertical="center" wrapText="1"/>
    </xf>
    <xf numFmtId="43" fontId="41" fillId="0" borderId="64" xfId="43" applyNumberFormat="1" applyFont="1" applyFill="1" applyBorder="1" applyAlignment="1">
      <alignment vertical="center" wrapText="1"/>
    </xf>
    <xf numFmtId="43" fontId="41" fillId="0" borderId="65" xfId="43" applyNumberFormat="1" applyFont="1" applyBorder="1" applyAlignment="1">
      <alignment vertical="center" wrapText="1"/>
    </xf>
    <xf numFmtId="43" fontId="41" fillId="0" borderId="53" xfId="43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top" wrapText="1" indent="3"/>
    </xf>
    <xf numFmtId="0" fontId="9" fillId="0" borderId="32" xfId="0" applyFont="1" applyFill="1" applyBorder="1" applyAlignment="1">
      <alignment horizontal="center" vertical="center" wrapText="1"/>
    </xf>
    <xf numFmtId="165" fontId="9" fillId="0" borderId="32" xfId="9" applyNumberFormat="1" applyFont="1" applyBorder="1" applyAlignment="1">
      <alignment horizontal="center" vertical="center"/>
    </xf>
    <xf numFmtId="165" fontId="9" fillId="0" borderId="35" xfId="9" applyNumberFormat="1" applyFont="1" applyBorder="1" applyAlignment="1">
      <alignment horizontal="center" vertical="center"/>
    </xf>
    <xf numFmtId="0" fontId="17" fillId="0" borderId="0" xfId="40" applyFont="1" applyAlignment="1">
      <alignment horizontal="center" vertical="center" wrapText="1"/>
    </xf>
    <xf numFmtId="164" fontId="41" fillId="0" borderId="0" xfId="40" applyNumberFormat="1" applyFont="1" applyAlignment="1">
      <alignment horizontal="center" vertical="center"/>
    </xf>
    <xf numFmtId="0" fontId="50" fillId="0" borderId="0" xfId="0" applyFont="1"/>
    <xf numFmtId="0" fontId="14" fillId="0" borderId="0" xfId="0" applyFont="1"/>
    <xf numFmtId="0" fontId="8" fillId="0" borderId="0" xfId="0" applyFont="1"/>
    <xf numFmtId="0" fontId="18" fillId="0" borderId="1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5" fontId="13" fillId="3" borderId="1" xfId="6" applyNumberFormat="1" applyFont="1" applyFill="1" applyBorder="1" applyAlignment="1">
      <alignment horizontal="center" vertical="center"/>
    </xf>
    <xf numFmtId="165" fontId="49" fillId="3" borderId="1" xfId="6" applyNumberFormat="1" applyFont="1" applyFill="1" applyBorder="1" applyAlignment="1">
      <alignment horizontal="center" vertical="center"/>
    </xf>
    <xf numFmtId="165" fontId="18" fillId="0" borderId="0" xfId="6" applyFont="1" applyAlignment="1">
      <alignment horizontal="center" vertical="center"/>
    </xf>
    <xf numFmtId="9" fontId="18" fillId="0" borderId="0" xfId="4" applyFont="1" applyAlignment="1">
      <alignment horizontal="center" vertical="center"/>
    </xf>
    <xf numFmtId="9" fontId="49" fillId="3" borderId="1" xfId="4" applyFont="1" applyFill="1" applyBorder="1" applyAlignment="1">
      <alignment horizontal="center" vertical="center"/>
    </xf>
    <xf numFmtId="0" fontId="0" fillId="0" borderId="0" xfId="0" applyFont="1"/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73" xfId="40" applyFont="1" applyBorder="1" applyAlignment="1">
      <alignment horizontal="center" vertical="center" wrapText="1"/>
    </xf>
    <xf numFmtId="0" fontId="13" fillId="0" borderId="74" xfId="40" applyFont="1" applyBorder="1" applyAlignment="1">
      <alignment horizontal="left" vertical="center" wrapText="1"/>
    </xf>
    <xf numFmtId="0" fontId="13" fillId="0" borderId="54" xfId="40" applyFont="1" applyBorder="1" applyAlignment="1">
      <alignment horizontal="center" vertical="center" wrapText="1"/>
    </xf>
    <xf numFmtId="0" fontId="13" fillId="0" borderId="0" xfId="40" applyFont="1" applyBorder="1" applyAlignment="1">
      <alignment horizontal="center" vertical="center" wrapText="1"/>
    </xf>
    <xf numFmtId="1" fontId="41" fillId="0" borderId="0" xfId="40" applyNumberFormat="1" applyFont="1" applyBorder="1" applyAlignment="1">
      <alignment horizontal="center" vertical="center" shrinkToFit="1"/>
    </xf>
    <xf numFmtId="43" fontId="41" fillId="0" borderId="0" xfId="43" applyNumberFormat="1" applyFont="1" applyBorder="1" applyAlignment="1">
      <alignment vertical="center" wrapText="1"/>
    </xf>
    <xf numFmtId="43" fontId="41" fillId="0" borderId="0" xfId="43" applyFont="1" applyBorder="1" applyAlignment="1">
      <alignment vertical="center" wrapText="1"/>
    </xf>
    <xf numFmtId="43" fontId="48" fillId="0" borderId="0" xfId="43" applyFont="1" applyBorder="1" applyAlignment="1">
      <alignment vertical="center" wrapText="1"/>
    </xf>
    <xf numFmtId="43" fontId="41" fillId="0" borderId="0" xfId="43" applyFont="1" applyBorder="1" applyAlignment="1">
      <alignment horizontal="center" vertical="center" wrapText="1"/>
    </xf>
    <xf numFmtId="43" fontId="41" fillId="0" borderId="0" xfId="40" applyNumberFormat="1" applyFont="1" applyAlignment="1">
      <alignment horizontal="center" vertical="center"/>
    </xf>
    <xf numFmtId="43" fontId="41" fillId="0" borderId="0" xfId="40" applyNumberFormat="1" applyFont="1" applyBorder="1" applyAlignment="1">
      <alignment horizontal="center" vertical="center" wrapText="1"/>
    </xf>
    <xf numFmtId="43" fontId="41" fillId="0" borderId="53" xfId="40" applyNumberFormat="1" applyFont="1" applyBorder="1" applyAlignment="1">
      <alignment horizontal="center" vertical="center" wrapText="1"/>
    </xf>
    <xf numFmtId="43" fontId="41" fillId="0" borderId="53" xfId="40" applyNumberFormat="1" applyFont="1" applyBorder="1" applyAlignment="1">
      <alignment horizontal="center" vertical="center" shrinkToFit="1"/>
    </xf>
    <xf numFmtId="165" fontId="9" fillId="0" borderId="53" xfId="0" applyNumberFormat="1" applyFont="1" applyBorder="1" applyAlignment="1">
      <alignment horizontal="center" vertical="top" wrapText="1"/>
    </xf>
    <xf numFmtId="165" fontId="9" fillId="0" borderId="53" xfId="0" applyNumberFormat="1" applyFont="1" applyBorder="1" applyAlignment="1">
      <alignment horizontal="center" vertical="center"/>
    </xf>
    <xf numFmtId="165" fontId="19" fillId="0" borderId="0" xfId="0" applyNumberFormat="1" applyFont="1"/>
    <xf numFmtId="165" fontId="9" fillId="0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165" fontId="9" fillId="0" borderId="0" xfId="0" applyNumberFormat="1" applyFont="1" applyAlignment="1">
      <alignment vertical="center"/>
    </xf>
    <xf numFmtId="0" fontId="13" fillId="0" borderId="38" xfId="40" applyFont="1" applyFill="1" applyBorder="1" applyAlignment="1">
      <alignment horizontal="center" vertical="center"/>
    </xf>
    <xf numFmtId="0" fontId="13" fillId="0" borderId="40" xfId="40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left" vertical="center" wrapText="1"/>
    </xf>
    <xf numFmtId="43" fontId="41" fillId="0" borderId="0" xfId="43" applyFont="1" applyFill="1" applyBorder="1" applyAlignment="1">
      <alignment horizontal="center" vertical="center" wrapText="1"/>
    </xf>
    <xf numFmtId="0" fontId="41" fillId="0" borderId="0" xfId="40" applyFont="1" applyFill="1" applyAlignment="1">
      <alignment horizontal="left" vertical="center"/>
    </xf>
    <xf numFmtId="165" fontId="13" fillId="0" borderId="1" xfId="6" applyNumberFormat="1" applyFont="1" applyFill="1" applyBorder="1" applyAlignment="1">
      <alignment horizontal="center" vertical="center"/>
    </xf>
    <xf numFmtId="165" fontId="49" fillId="0" borderId="1" xfId="6" applyNumberFormat="1" applyFont="1" applyFill="1" applyBorder="1" applyAlignment="1">
      <alignment horizontal="center" vertical="center"/>
    </xf>
    <xf numFmtId="165" fontId="18" fillId="0" borderId="0" xfId="6" applyFont="1" applyFill="1" applyAlignment="1">
      <alignment horizontal="center" vertical="center"/>
    </xf>
    <xf numFmtId="9" fontId="18" fillId="0" borderId="0" xfId="4" applyFont="1" applyFill="1" applyAlignment="1">
      <alignment horizontal="center" vertical="center"/>
    </xf>
    <xf numFmtId="164" fontId="41" fillId="0" borderId="0" xfId="40" applyNumberFormat="1" applyFont="1" applyFill="1" applyAlignment="1">
      <alignment horizontal="center" vertical="center"/>
    </xf>
    <xf numFmtId="9" fontId="18" fillId="4" borderId="0" xfId="4" applyFont="1" applyFill="1" applyAlignment="1">
      <alignment horizontal="center" vertical="center"/>
    </xf>
    <xf numFmtId="0" fontId="41" fillId="4" borderId="0" xfId="40" applyFont="1" applyFill="1" applyAlignment="1">
      <alignment horizontal="center" vertical="center"/>
    </xf>
    <xf numFmtId="164" fontId="41" fillId="4" borderId="0" xfId="40" applyNumberFormat="1" applyFont="1" applyFill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71" fontId="41" fillId="0" borderId="36" xfId="43" applyNumberFormat="1" applyFont="1" applyFill="1" applyBorder="1" applyAlignment="1">
      <alignment horizontal="center" vertical="center" wrapText="1"/>
    </xf>
    <xf numFmtId="43" fontId="41" fillId="0" borderId="36" xfId="43" applyNumberFormat="1" applyFont="1" applyFill="1" applyBorder="1" applyAlignment="1">
      <alignment horizontal="center" vertical="center" wrapText="1"/>
    </xf>
    <xf numFmtId="43" fontId="41" fillId="0" borderId="37" xfId="43" applyFont="1" applyFill="1" applyBorder="1" applyAlignment="1">
      <alignment horizontal="center" vertical="center" wrapText="1"/>
    </xf>
    <xf numFmtId="0" fontId="41" fillId="0" borderId="13" xfId="40" applyFont="1" applyFill="1" applyBorder="1" applyAlignment="1">
      <alignment horizontal="center" vertical="center" wrapText="1"/>
    </xf>
    <xf numFmtId="171" fontId="41" fillId="0" borderId="14" xfId="43" applyNumberFormat="1" applyFont="1" applyFill="1" applyBorder="1" applyAlignment="1">
      <alignment horizontal="center" vertical="center" wrapText="1"/>
    </xf>
    <xf numFmtId="43" fontId="41" fillId="0" borderId="14" xfId="43" applyNumberFormat="1" applyFont="1" applyFill="1" applyBorder="1" applyAlignment="1">
      <alignment horizontal="center" vertical="center" wrapText="1"/>
    </xf>
    <xf numFmtId="165" fontId="41" fillId="0" borderId="14" xfId="6" applyFont="1" applyFill="1" applyBorder="1" applyAlignment="1">
      <alignment horizontal="center" vertical="center" wrapText="1"/>
    </xf>
    <xf numFmtId="166" fontId="41" fillId="0" borderId="14" xfId="43" applyNumberFormat="1" applyFont="1" applyFill="1" applyBorder="1" applyAlignment="1">
      <alignment horizontal="center" vertical="center" wrapText="1"/>
    </xf>
    <xf numFmtId="43" fontId="41" fillId="0" borderId="15" xfId="43" applyNumberFormat="1" applyFont="1" applyFill="1" applyBorder="1" applyAlignment="1">
      <alignment vertical="center" wrapText="1"/>
    </xf>
    <xf numFmtId="43" fontId="41" fillId="0" borderId="0" xfId="43" applyNumberFormat="1" applyFont="1" applyFill="1" applyBorder="1" applyAlignment="1">
      <alignment vertical="center" wrapText="1"/>
    </xf>
    <xf numFmtId="0" fontId="41" fillId="0" borderId="19" xfId="40" applyFont="1" applyFill="1" applyBorder="1" applyAlignment="1">
      <alignment horizontal="center" vertical="center" wrapText="1"/>
    </xf>
    <xf numFmtId="43" fontId="41" fillId="0" borderId="0" xfId="43" applyFont="1" applyFill="1" applyBorder="1" applyAlignment="1">
      <alignment vertical="center" wrapText="1"/>
    </xf>
    <xf numFmtId="0" fontId="41" fillId="0" borderId="52" xfId="40" applyFont="1" applyFill="1" applyBorder="1" applyAlignment="1">
      <alignment horizontal="center" vertical="center" wrapText="1"/>
    </xf>
    <xf numFmtId="0" fontId="41" fillId="0" borderId="53" xfId="40" applyFont="1" applyFill="1" applyBorder="1" applyAlignment="1">
      <alignment horizontal="left" vertical="center" wrapText="1"/>
    </xf>
    <xf numFmtId="0" fontId="13" fillId="0" borderId="53" xfId="0" applyFont="1" applyFill="1" applyBorder="1" applyAlignment="1">
      <alignment horizontal="left" vertical="center" wrapText="1"/>
    </xf>
    <xf numFmtId="171" fontId="41" fillId="0" borderId="53" xfId="43" applyNumberFormat="1" applyFont="1" applyFill="1" applyBorder="1" applyAlignment="1">
      <alignment horizontal="center" vertical="center" wrapText="1"/>
    </xf>
    <xf numFmtId="43" fontId="41" fillId="0" borderId="53" xfId="43" applyNumberFormat="1" applyFont="1" applyFill="1" applyBorder="1" applyAlignment="1">
      <alignment horizontal="center" vertical="center" wrapText="1"/>
    </xf>
    <xf numFmtId="165" fontId="41" fillId="0" borderId="53" xfId="6" applyFont="1" applyFill="1" applyBorder="1" applyAlignment="1">
      <alignment horizontal="center" vertical="center" wrapText="1"/>
    </xf>
    <xf numFmtId="166" fontId="41" fillId="0" borderId="53" xfId="43" applyNumberFormat="1" applyFont="1" applyFill="1" applyBorder="1" applyAlignment="1">
      <alignment horizontal="center" vertical="center" wrapText="1"/>
    </xf>
    <xf numFmtId="43" fontId="41" fillId="0" borderId="54" xfId="43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top" wrapText="1"/>
    </xf>
    <xf numFmtId="0" fontId="9" fillId="0" borderId="40" xfId="0" applyFont="1" applyFill="1" applyBorder="1" applyAlignment="1">
      <alignment horizontal="left" vertical="top" wrapText="1" indent="3"/>
    </xf>
    <xf numFmtId="0" fontId="9" fillId="0" borderId="40" xfId="0" applyFont="1" applyFill="1" applyBorder="1" applyAlignment="1">
      <alignment horizontal="center" vertical="center" wrapText="1"/>
    </xf>
    <xf numFmtId="165" fontId="9" fillId="0" borderId="40" xfId="9" applyNumberFormat="1" applyFont="1" applyBorder="1" applyAlignment="1">
      <alignment horizontal="center" vertical="center"/>
    </xf>
    <xf numFmtId="165" fontId="9" fillId="0" borderId="51" xfId="9" applyNumberFormat="1" applyFont="1" applyBorder="1" applyAlignment="1">
      <alignment horizontal="center" vertical="center"/>
    </xf>
    <xf numFmtId="0" fontId="55" fillId="0" borderId="0" xfId="0" applyFont="1" applyFill="1" applyAlignment="1">
      <alignment horizontal="left" vertical="center"/>
    </xf>
    <xf numFmtId="0" fontId="56" fillId="0" borderId="0" xfId="40" applyFont="1"/>
    <xf numFmtId="0" fontId="55" fillId="0" borderId="0" xfId="0" applyFont="1"/>
    <xf numFmtId="0" fontId="41" fillId="0" borderId="0" xfId="40" applyFont="1"/>
    <xf numFmtId="0" fontId="13" fillId="0" borderId="0" xfId="0" applyFont="1"/>
    <xf numFmtId="0" fontId="41" fillId="0" borderId="14" xfId="40" applyFont="1" applyFill="1" applyBorder="1" applyAlignment="1">
      <alignment horizontal="left" vertical="center" wrapText="1"/>
    </xf>
    <xf numFmtId="0" fontId="41" fillId="0" borderId="36" xfId="40" applyFont="1" applyFill="1" applyBorder="1" applyAlignment="1">
      <alignment horizontal="left" vertical="center" wrapText="1"/>
    </xf>
    <xf numFmtId="0" fontId="13" fillId="0" borderId="13" xfId="40" applyFont="1" applyBorder="1" applyAlignment="1">
      <alignment horizontal="center" vertical="center"/>
    </xf>
    <xf numFmtId="0" fontId="13" fillId="0" borderId="19" xfId="40" applyFont="1" applyBorder="1" applyAlignment="1">
      <alignment horizontal="center" vertical="center"/>
    </xf>
    <xf numFmtId="0" fontId="41" fillId="0" borderId="64" xfId="40" applyFont="1" applyBorder="1" applyAlignment="1">
      <alignment horizontal="left" vertical="center" wrapText="1"/>
    </xf>
    <xf numFmtId="0" fontId="41" fillId="0" borderId="14" xfId="40" applyFont="1" applyBorder="1" applyAlignment="1">
      <alignment horizontal="left" vertical="center" wrapText="1"/>
    </xf>
    <xf numFmtId="0" fontId="41" fillId="0" borderId="36" xfId="40" applyFont="1" applyBorder="1" applyAlignment="1">
      <alignment horizontal="left" vertical="center" wrapText="1"/>
    </xf>
    <xf numFmtId="0" fontId="41" fillId="0" borderId="14" xfId="40" applyFont="1" applyBorder="1" applyAlignment="1">
      <alignment vertical="top" wrapText="1"/>
    </xf>
    <xf numFmtId="1" fontId="44" fillId="0" borderId="0" xfId="44" applyNumberFormat="1" applyFont="1" applyBorder="1" applyAlignment="1">
      <alignment horizontal="left" vertical="top" wrapText="1" shrinkToFit="1"/>
    </xf>
    <xf numFmtId="9" fontId="44" fillId="0" borderId="0" xfId="45" applyFont="1" applyBorder="1" applyAlignment="1">
      <alignment horizontal="center" vertical="top" wrapText="1" shrinkToFit="1"/>
    </xf>
    <xf numFmtId="166" fontId="0" fillId="0" borderId="0" xfId="45" applyNumberFormat="1" applyFont="1" applyBorder="1" applyAlignment="1">
      <alignment horizontal="center" vertical="top" wrapText="1"/>
    </xf>
    <xf numFmtId="9" fontId="47" fillId="0" borderId="0" xfId="44" applyNumberFormat="1" applyBorder="1" applyAlignment="1">
      <alignment horizontal="center" vertical="top" wrapText="1"/>
    </xf>
    <xf numFmtId="9" fontId="47" fillId="0" borderId="1" xfId="44" applyNumberFormat="1" applyBorder="1" applyAlignment="1">
      <alignment horizontal="center" vertical="top" wrapText="1"/>
    </xf>
    <xf numFmtId="166" fontId="47" fillId="0" borderId="1" xfId="44" applyNumberFormat="1" applyBorder="1" applyAlignment="1">
      <alignment horizontal="center" vertical="top" wrapText="1"/>
    </xf>
    <xf numFmtId="9" fontId="47" fillId="0" borderId="23" xfId="44" applyNumberFormat="1" applyBorder="1" applyAlignment="1">
      <alignment horizontal="center" vertical="top" wrapText="1"/>
    </xf>
    <xf numFmtId="0" fontId="13" fillId="0" borderId="17" xfId="4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9" fontId="47" fillId="0" borderId="36" xfId="44" applyNumberFormat="1" applyBorder="1" applyAlignment="1">
      <alignment horizontal="center" vertical="top" wrapText="1"/>
    </xf>
    <xf numFmtId="166" fontId="47" fillId="0" borderId="36" xfId="44" applyNumberFormat="1" applyBorder="1" applyAlignment="1">
      <alignment horizontal="center" vertical="top" wrapText="1"/>
    </xf>
    <xf numFmtId="9" fontId="47" fillId="0" borderId="37" xfId="44" applyNumberFormat="1" applyBorder="1" applyAlignment="1">
      <alignment horizontal="center" vertical="top" wrapText="1"/>
    </xf>
    <xf numFmtId="1" fontId="44" fillId="0" borderId="21" xfId="44" applyNumberFormat="1" applyFont="1" applyBorder="1" applyAlignment="1">
      <alignment horizontal="center" vertical="top" wrapText="1" shrinkToFit="1"/>
    </xf>
    <xf numFmtId="1" fontId="44" fillId="0" borderId="16" xfId="44" applyNumberFormat="1" applyFont="1" applyBorder="1" applyAlignment="1">
      <alignment horizontal="center" vertical="top" wrapText="1" shrinkToFit="1"/>
    </xf>
    <xf numFmtId="0" fontId="13" fillId="0" borderId="52" xfId="44" applyFont="1" applyBorder="1" applyAlignment="1">
      <alignment horizontal="center" vertical="center" wrapText="1"/>
    </xf>
    <xf numFmtId="0" fontId="13" fillId="0" borderId="53" xfId="44" applyFont="1" applyBorder="1" applyAlignment="1">
      <alignment horizontal="center" vertical="center" wrapText="1"/>
    </xf>
    <xf numFmtId="1" fontId="44" fillId="0" borderId="33" xfId="44" applyNumberFormat="1" applyFont="1" applyBorder="1" applyAlignment="1">
      <alignment horizontal="left" vertical="top" wrapText="1" shrinkToFit="1"/>
    </xf>
    <xf numFmtId="9" fontId="44" fillId="0" borderId="32" xfId="45" applyFont="1" applyBorder="1" applyAlignment="1">
      <alignment horizontal="center" vertical="top" wrapText="1" shrinkToFit="1"/>
    </xf>
    <xf numFmtId="166" fontId="0" fillId="0" borderId="32" xfId="45" applyNumberFormat="1" applyFont="1" applyBorder="1" applyAlignment="1">
      <alignment horizontal="center" vertical="top" wrapText="1"/>
    </xf>
    <xf numFmtId="9" fontId="47" fillId="0" borderId="32" xfId="44" applyNumberFormat="1" applyBorder="1" applyAlignment="1">
      <alignment horizontal="center" vertical="top" wrapText="1"/>
    </xf>
    <xf numFmtId="9" fontId="47" fillId="0" borderId="35" xfId="44" applyNumberFormat="1" applyBorder="1" applyAlignment="1">
      <alignment horizontal="center" vertical="top" wrapText="1"/>
    </xf>
    <xf numFmtId="0" fontId="13" fillId="0" borderId="13" xfId="40" applyFont="1" applyBorder="1" applyAlignment="1">
      <alignment horizontal="left" vertical="top" wrapText="1"/>
    </xf>
    <xf numFmtId="9" fontId="47" fillId="0" borderId="14" xfId="44" applyNumberFormat="1" applyBorder="1" applyAlignment="1">
      <alignment horizontal="center" vertical="top" wrapText="1"/>
    </xf>
    <xf numFmtId="166" fontId="47" fillId="0" borderId="14" xfId="44" applyNumberFormat="1" applyBorder="1" applyAlignment="1">
      <alignment horizontal="center" vertical="top" wrapText="1"/>
    </xf>
    <xf numFmtId="9" fontId="47" fillId="0" borderId="15" xfId="44" applyNumberFormat="1" applyBorder="1" applyAlignment="1">
      <alignment horizontal="center" vertical="top" wrapText="1"/>
    </xf>
    <xf numFmtId="49" fontId="13" fillId="0" borderId="0" xfId="40" applyNumberFormat="1" applyFont="1" applyFill="1" applyAlignment="1">
      <alignment horizontal="left" vertical="center" wrapText="1" indent="10"/>
    </xf>
    <xf numFmtId="0" fontId="7" fillId="0" borderId="0" xfId="0" applyFont="1"/>
    <xf numFmtId="0" fontId="13" fillId="0" borderId="0" xfId="40" applyFont="1" applyFill="1" applyAlignment="1">
      <alignment horizontal="right" vertical="center" wrapText="1"/>
    </xf>
    <xf numFmtId="49" fontId="49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0" fontId="10" fillId="0" borderId="0" xfId="4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41" fillId="0" borderId="14" xfId="40" applyFont="1" applyFill="1" applyBorder="1" applyAlignment="1">
      <alignment horizontal="left" vertical="center" wrapText="1"/>
    </xf>
    <xf numFmtId="0" fontId="41" fillId="0" borderId="36" xfId="40" applyFont="1" applyFill="1" applyBorder="1" applyAlignment="1">
      <alignment horizontal="left" vertical="center" wrapText="1"/>
    </xf>
    <xf numFmtId="0" fontId="13" fillId="0" borderId="13" xfId="40" applyFont="1" applyBorder="1" applyAlignment="1">
      <alignment horizontal="center" vertical="center"/>
    </xf>
    <xf numFmtId="0" fontId="13" fillId="0" borderId="19" xfId="40" applyFont="1" applyBorder="1" applyAlignment="1">
      <alignment horizontal="center" vertical="center"/>
    </xf>
    <xf numFmtId="0" fontId="17" fillId="0" borderId="0" xfId="40" applyFont="1" applyAlignment="1">
      <alignment horizontal="center" vertical="center" wrapText="1"/>
    </xf>
    <xf numFmtId="0" fontId="41" fillId="0" borderId="64" xfId="40" applyFont="1" applyBorder="1" applyAlignment="1">
      <alignment horizontal="left" vertical="center" wrapText="1"/>
    </xf>
    <xf numFmtId="0" fontId="41" fillId="0" borderId="14" xfId="40" applyFont="1" applyBorder="1" applyAlignment="1">
      <alignment horizontal="left" vertical="center" wrapText="1"/>
    </xf>
    <xf numFmtId="0" fontId="41" fillId="0" borderId="36" xfId="40" applyFont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3" fillId="0" borderId="18" xfId="40" applyFont="1" applyBorder="1" applyAlignment="1">
      <alignment horizontal="center" vertical="center"/>
    </xf>
    <xf numFmtId="0" fontId="13" fillId="0" borderId="13" xfId="40" applyFont="1" applyBorder="1" applyAlignment="1">
      <alignment vertical="center" wrapText="1"/>
    </xf>
    <xf numFmtId="0" fontId="13" fillId="0" borderId="19" xfId="40" applyFont="1" applyBorder="1" applyAlignment="1">
      <alignment vertical="center" wrapText="1"/>
    </xf>
    <xf numFmtId="166" fontId="41" fillId="0" borderId="1" xfId="43" applyNumberFormat="1" applyFont="1" applyFill="1" applyBorder="1" applyAlignment="1">
      <alignment horizontal="center" vertical="center" wrapText="1"/>
    </xf>
    <xf numFmtId="0" fontId="13" fillId="0" borderId="13" xfId="40" applyFont="1" applyFill="1" applyBorder="1" applyAlignment="1">
      <alignment horizontal="center" vertical="center"/>
    </xf>
    <xf numFmtId="0" fontId="13" fillId="0" borderId="17" xfId="40" applyFont="1" applyFill="1" applyBorder="1" applyAlignment="1">
      <alignment horizontal="center" vertical="center"/>
    </xf>
    <xf numFmtId="165" fontId="9" fillId="0" borderId="1" xfId="9" applyNumberFormat="1" applyFont="1" applyFill="1" applyBorder="1" applyAlignment="1">
      <alignment horizontal="center" vertical="center"/>
    </xf>
    <xf numFmtId="165" fontId="14" fillId="0" borderId="1" xfId="9" applyNumberFormat="1" applyFont="1" applyFill="1" applyBorder="1" applyAlignment="1">
      <alignment horizontal="center" vertical="center"/>
    </xf>
    <xf numFmtId="165" fontId="9" fillId="0" borderId="36" xfId="9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166" fontId="41" fillId="0" borderId="36" xfId="43" applyNumberFormat="1" applyFont="1" applyFill="1" applyBorder="1" applyAlignment="1">
      <alignment horizontal="center" vertical="center" wrapText="1"/>
    </xf>
    <xf numFmtId="166" fontId="41" fillId="0" borderId="32" xfId="4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right" wrapText="1"/>
    </xf>
    <xf numFmtId="49" fontId="9" fillId="0" borderId="0" xfId="0" applyNumberFormat="1" applyFont="1" applyFill="1" applyAlignment="1">
      <alignment horizontal="left" vertical="top" wrapText="1" indent="15"/>
    </xf>
    <xf numFmtId="0" fontId="9" fillId="0" borderId="0" xfId="0" applyFont="1" applyFill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41" fillId="0" borderId="0" xfId="40" applyFont="1" applyBorder="1" applyAlignment="1">
      <alignment horizontal="left" vertical="center"/>
    </xf>
    <xf numFmtId="0" fontId="48" fillId="0" borderId="52" xfId="40" applyFont="1" applyBorder="1" applyAlignment="1">
      <alignment horizontal="right" vertical="center" wrapText="1"/>
    </xf>
    <xf numFmtId="0" fontId="48" fillId="0" borderId="53" xfId="40" applyFont="1" applyBorder="1" applyAlignment="1">
      <alignment horizontal="right" vertical="center" wrapText="1"/>
    </xf>
    <xf numFmtId="0" fontId="13" fillId="0" borderId="14" xfId="40" applyFont="1" applyBorder="1" applyAlignment="1">
      <alignment horizontal="left" vertical="center" wrapText="1"/>
    </xf>
    <xf numFmtId="0" fontId="13" fillId="0" borderId="1" xfId="40" applyFont="1" applyBorder="1" applyAlignment="1">
      <alignment horizontal="left" vertical="center" wrapText="1"/>
    </xf>
    <xf numFmtId="0" fontId="13" fillId="0" borderId="32" xfId="40" applyFont="1" applyBorder="1" applyAlignment="1">
      <alignment horizontal="left" vertical="center" wrapText="1"/>
    </xf>
    <xf numFmtId="0" fontId="13" fillId="0" borderId="36" xfId="40" applyFont="1" applyBorder="1" applyAlignment="1">
      <alignment horizontal="left" vertical="center" wrapText="1"/>
    </xf>
    <xf numFmtId="0" fontId="41" fillId="0" borderId="14" xfId="40" applyFont="1" applyBorder="1" applyAlignment="1">
      <alignment horizontal="left" vertical="center" wrapText="1"/>
    </xf>
    <xf numFmtId="0" fontId="41" fillId="0" borderId="36" xfId="4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 wrapText="1"/>
    </xf>
    <xf numFmtId="0" fontId="13" fillId="0" borderId="68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3" fillId="0" borderId="40" xfId="0" applyFont="1" applyBorder="1" applyAlignment="1">
      <alignment vertical="center"/>
    </xf>
    <xf numFmtId="0" fontId="13" fillId="0" borderId="66" xfId="0" applyFont="1" applyBorder="1" applyAlignment="1">
      <alignment vertical="center"/>
    </xf>
    <xf numFmtId="49" fontId="53" fillId="0" borderId="1" xfId="0" applyNumberFormat="1" applyFont="1" applyFill="1" applyBorder="1" applyAlignment="1">
      <alignment horizontal="center" vertical="top" wrapText="1"/>
    </xf>
    <xf numFmtId="49" fontId="18" fillId="0" borderId="72" xfId="0" applyNumberFormat="1" applyFont="1" applyBorder="1" applyAlignment="1">
      <alignment horizontal="center" vertical="top" wrapText="1"/>
    </xf>
    <xf numFmtId="49" fontId="51" fillId="0" borderId="1" xfId="0" applyNumberFormat="1" applyFont="1" applyBorder="1" applyAlignment="1">
      <alignment horizontal="center" vertical="top" wrapText="1"/>
    </xf>
    <xf numFmtId="49" fontId="10" fillId="0" borderId="0" xfId="40" applyNumberFormat="1" applyFont="1" applyFill="1" applyAlignment="1">
      <alignment horizontal="left" vertical="center" wrapText="1" indent="8"/>
    </xf>
    <xf numFmtId="0" fontId="10" fillId="0" borderId="0" xfId="40" applyFont="1" applyFill="1" applyAlignment="1">
      <alignment horizontal="right" vertical="center" wrapText="1"/>
    </xf>
    <xf numFmtId="0" fontId="17" fillId="0" borderId="0" xfId="40" applyFont="1" applyAlignment="1">
      <alignment horizontal="center" vertical="center" wrapText="1"/>
    </xf>
    <xf numFmtId="49" fontId="51" fillId="0" borderId="32" xfId="0" applyNumberFormat="1" applyFont="1" applyBorder="1" applyAlignment="1">
      <alignment horizontal="center" vertical="top" wrapText="1"/>
    </xf>
    <xf numFmtId="49" fontId="51" fillId="0" borderId="16" xfId="0" applyNumberFormat="1" applyFont="1" applyBorder="1" applyAlignment="1">
      <alignment horizontal="center" vertical="top" wrapText="1"/>
    </xf>
    <xf numFmtId="49" fontId="52" fillId="0" borderId="1" xfId="0" applyNumberFormat="1" applyFont="1" applyFill="1" applyBorder="1" applyAlignment="1">
      <alignment horizontal="center" vertical="top" wrapText="1"/>
    </xf>
    <xf numFmtId="0" fontId="48" fillId="0" borderId="5" xfId="40" applyFont="1" applyBorder="1" applyAlignment="1">
      <alignment horizontal="left" vertical="center" wrapText="1"/>
    </xf>
    <xf numFmtId="0" fontId="48" fillId="0" borderId="43" xfId="40" applyFont="1" applyBorder="1" applyAlignment="1">
      <alignment horizontal="left" vertical="center" wrapText="1"/>
    </xf>
    <xf numFmtId="0" fontId="48" fillId="0" borderId="67" xfId="40" applyFont="1" applyBorder="1" applyAlignment="1">
      <alignment horizontal="left" vertical="center" wrapText="1"/>
    </xf>
    <xf numFmtId="0" fontId="41" fillId="0" borderId="64" xfId="40" applyFont="1" applyBorder="1" applyAlignment="1">
      <alignment horizontal="left" vertical="center" wrapText="1"/>
    </xf>
    <xf numFmtId="0" fontId="41" fillId="0" borderId="66" xfId="40" applyFont="1" applyBorder="1" applyAlignment="1">
      <alignment horizontal="left" vertical="center" wrapText="1"/>
    </xf>
    <xf numFmtId="0" fontId="41" fillId="0" borderId="14" xfId="40" applyFont="1" applyFill="1" applyBorder="1" applyAlignment="1">
      <alignment horizontal="left" vertical="center" wrapText="1"/>
    </xf>
    <xf numFmtId="0" fontId="41" fillId="0" borderId="36" xfId="40" applyFont="1" applyFill="1" applyBorder="1" applyAlignment="1">
      <alignment horizontal="left" vertical="center" wrapText="1"/>
    </xf>
    <xf numFmtId="0" fontId="13" fillId="0" borderId="13" xfId="40" applyFont="1" applyBorder="1" applyAlignment="1">
      <alignment horizontal="center" vertical="center"/>
    </xf>
    <xf numFmtId="0" fontId="13" fillId="0" borderId="19" xfId="40" applyFont="1" applyBorder="1" applyAlignment="1">
      <alignment horizontal="center" vertical="center"/>
    </xf>
    <xf numFmtId="0" fontId="13" fillId="0" borderId="64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49" fontId="24" fillId="4" borderId="2" xfId="0" applyNumberFormat="1" applyFont="1" applyFill="1" applyBorder="1" applyAlignment="1">
      <alignment horizontal="center" vertical="top" wrapText="1"/>
    </xf>
    <xf numFmtId="49" fontId="24" fillId="4" borderId="45" xfId="0" applyNumberFormat="1" applyFont="1" applyFill="1" applyBorder="1" applyAlignment="1">
      <alignment horizontal="center" vertical="top" wrapText="1"/>
    </xf>
    <xf numFmtId="49" fontId="24" fillId="0" borderId="2" xfId="0" applyNumberFormat="1" applyFont="1" applyBorder="1" applyAlignment="1">
      <alignment horizontal="center" vertical="top" wrapText="1"/>
    </xf>
    <xf numFmtId="49" fontId="24" fillId="0" borderId="45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45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0" fontId="45" fillId="0" borderId="6" xfId="0" applyFont="1" applyBorder="1" applyAlignment="1">
      <alignment horizontal="left" vertical="top" wrapText="1"/>
    </xf>
    <xf numFmtId="0" fontId="45" fillId="0" borderId="75" xfId="0" applyFont="1" applyBorder="1" applyAlignment="1">
      <alignment horizontal="left" vertical="top" wrapText="1"/>
    </xf>
    <xf numFmtId="0" fontId="45" fillId="0" borderId="31" xfId="0" applyFont="1" applyBorder="1" applyAlignment="1">
      <alignment horizontal="left" vertical="top" wrapText="1"/>
    </xf>
    <xf numFmtId="49" fontId="24" fillId="0" borderId="20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34" xfId="0" applyNumberFormat="1" applyFont="1" applyBorder="1" applyAlignment="1">
      <alignment horizontal="center" vertical="top" wrapText="1"/>
    </xf>
    <xf numFmtId="49" fontId="9" fillId="0" borderId="22" xfId="0" applyNumberFormat="1" applyFont="1" applyBorder="1" applyAlignment="1">
      <alignment horizontal="center" vertical="top" wrapText="1"/>
    </xf>
    <xf numFmtId="49" fontId="9" fillId="0" borderId="25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49" fontId="9" fillId="0" borderId="43" xfId="0" applyNumberFormat="1" applyFont="1" applyBorder="1" applyAlignment="1">
      <alignment horizontal="center" vertical="top" wrapText="1"/>
    </xf>
    <xf numFmtId="49" fontId="9" fillId="0" borderId="28" xfId="0" applyNumberFormat="1" applyFont="1" applyBorder="1" applyAlignment="1">
      <alignment horizontal="center" vertical="top" wrapText="1"/>
    </xf>
    <xf numFmtId="49" fontId="24" fillId="0" borderId="41" xfId="0" applyNumberFormat="1" applyFont="1" applyBorder="1" applyAlignment="1">
      <alignment horizontal="center" vertical="top" wrapText="1"/>
    </xf>
    <xf numFmtId="49" fontId="24" fillId="0" borderId="42" xfId="0" applyNumberFormat="1" applyFont="1" applyBorder="1" applyAlignment="1">
      <alignment horizontal="center" vertical="top" wrapText="1"/>
    </xf>
    <xf numFmtId="49" fontId="26" fillId="0" borderId="20" xfId="1" applyNumberFormat="1" applyFont="1" applyBorder="1" applyAlignment="1">
      <alignment horizontal="center" vertical="top" wrapText="1"/>
    </xf>
    <xf numFmtId="0" fontId="55" fillId="0" borderId="0" xfId="0" applyFont="1" applyAlignment="1">
      <alignment horizontal="left" vertical="center" wrapText="1"/>
    </xf>
    <xf numFmtId="0" fontId="43" fillId="0" borderId="17" xfId="40" applyFont="1" applyBorder="1" applyAlignment="1">
      <alignment horizontal="left" vertical="top"/>
    </xf>
    <xf numFmtId="0" fontId="43" fillId="0" borderId="1" xfId="40" applyFont="1" applyBorder="1" applyAlignment="1">
      <alignment horizontal="left" vertical="top"/>
    </xf>
    <xf numFmtId="0" fontId="9" fillId="0" borderId="0" xfId="40" applyFont="1" applyAlignment="1">
      <alignment horizontal="center" vertical="top" wrapText="1"/>
    </xf>
    <xf numFmtId="0" fontId="42" fillId="0" borderId="0" xfId="40" applyFont="1" applyAlignment="1">
      <alignment horizontal="center" vertical="top" wrapText="1"/>
    </xf>
    <xf numFmtId="0" fontId="41" fillId="0" borderId="60" xfId="40" applyFont="1" applyBorder="1" applyAlignment="1">
      <alignment horizontal="center" vertical="top"/>
    </xf>
    <xf numFmtId="0" fontId="41" fillId="0" borderId="61" xfId="40" applyFont="1" applyBorder="1" applyAlignment="1">
      <alignment horizontal="center" vertical="top"/>
    </xf>
    <xf numFmtId="0" fontId="43" fillId="0" borderId="34" xfId="40" applyFont="1" applyBorder="1" applyAlignment="1">
      <alignment horizontal="left" vertical="top"/>
    </xf>
    <xf numFmtId="0" fontId="43" fillId="0" borderId="41" xfId="40" applyFont="1" applyBorder="1" applyAlignment="1">
      <alignment horizontal="left" vertical="top"/>
    </xf>
    <xf numFmtId="0" fontId="43" fillId="0" borderId="42" xfId="40" applyFont="1" applyBorder="1" applyAlignment="1">
      <alignment horizontal="left" vertical="top"/>
    </xf>
    <xf numFmtId="0" fontId="47" fillId="0" borderId="53" xfId="44" applyBorder="1" applyAlignment="1">
      <alignment horizontal="center" vertical="center" wrapText="1"/>
    </xf>
    <xf numFmtId="0" fontId="47" fillId="0" borderId="54" xfId="44" applyBorder="1" applyAlignment="1">
      <alignment horizontal="center" vertical="center" wrapText="1"/>
    </xf>
    <xf numFmtId="1" fontId="44" fillId="0" borderId="16" xfId="44" applyNumberFormat="1" applyFont="1" applyBorder="1" applyAlignment="1">
      <alignment horizontal="center" vertical="top" wrapText="1" shrinkToFit="1"/>
    </xf>
    <xf numFmtId="1" fontId="44" fillId="0" borderId="30" xfId="44" applyNumberFormat="1" applyFont="1" applyBorder="1" applyAlignment="1">
      <alignment horizontal="center" vertical="top" wrapText="1" shrinkToFit="1"/>
    </xf>
    <xf numFmtId="0" fontId="10" fillId="0" borderId="0" xfId="44" applyFont="1" applyBorder="1" applyAlignment="1">
      <alignment horizontal="center" vertical="top" wrapText="1"/>
    </xf>
    <xf numFmtId="0" fontId="13" fillId="0" borderId="0" xfId="44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49" fontId="9" fillId="0" borderId="6" xfId="38" applyNumberFormat="1" applyFont="1" applyFill="1" applyBorder="1" applyAlignment="1">
      <alignment horizontal="left" vertical="top" wrapText="1"/>
    </xf>
    <xf numFmtId="49" fontId="9" fillId="0" borderId="24" xfId="38" applyNumberFormat="1" applyFont="1" applyFill="1" applyBorder="1" applyAlignment="1">
      <alignment horizontal="left" vertical="top" wrapText="1"/>
    </xf>
    <xf numFmtId="49" fontId="17" fillId="0" borderId="0" xfId="38" applyNumberFormat="1" applyFont="1" applyAlignment="1">
      <alignment vertical="top" wrapText="1"/>
    </xf>
    <xf numFmtId="49" fontId="17" fillId="0" borderId="0" xfId="38" applyNumberFormat="1" applyFont="1" applyAlignment="1">
      <alignment vertical="top"/>
    </xf>
    <xf numFmtId="0" fontId="17" fillId="0" borderId="0" xfId="38" applyFont="1" applyFill="1" applyAlignment="1">
      <alignment horizontal="right" wrapText="1"/>
    </xf>
    <xf numFmtId="0" fontId="17" fillId="0" borderId="0" xfId="38" applyFont="1" applyFill="1" applyAlignment="1">
      <alignment horizontal="left" wrapText="1"/>
    </xf>
    <xf numFmtId="0" fontId="12" fillId="0" borderId="0" xfId="38" applyFont="1" applyFill="1" applyAlignment="1">
      <alignment horizontal="center" wrapText="1"/>
    </xf>
    <xf numFmtId="49" fontId="9" fillId="0" borderId="5" xfId="38" applyNumberFormat="1" applyFont="1" applyFill="1" applyBorder="1" applyAlignment="1">
      <alignment horizontal="center" vertical="top" wrapText="1"/>
    </xf>
    <xf numFmtId="49" fontId="9" fillId="0" borderId="28" xfId="38" applyNumberFormat="1" applyFont="1" applyFill="1" applyBorder="1" applyAlignment="1">
      <alignment horizontal="center" vertical="top" wrapText="1"/>
    </xf>
    <xf numFmtId="49" fontId="9" fillId="0" borderId="6" xfId="38" applyNumberFormat="1" applyFont="1" applyFill="1" applyBorder="1" applyAlignment="1">
      <alignment horizontal="left" vertical="top" wrapText="1" indent="2"/>
    </xf>
    <xf numFmtId="49" fontId="9" fillId="0" borderId="24" xfId="38" applyNumberFormat="1" applyFont="1" applyFill="1" applyBorder="1" applyAlignment="1">
      <alignment horizontal="left" vertical="top" wrapText="1" indent="2"/>
    </xf>
    <xf numFmtId="0" fontId="17" fillId="0" borderId="0" xfId="38" applyFont="1" applyFill="1" applyAlignment="1">
      <alignment horizontal="left" vertical="top" wrapText="1"/>
    </xf>
    <xf numFmtId="49" fontId="9" fillId="0" borderId="1" xfId="38" applyNumberFormat="1" applyFont="1" applyFill="1" applyBorder="1" applyAlignment="1">
      <alignment horizontal="left" vertical="top" wrapText="1"/>
    </xf>
    <xf numFmtId="49" fontId="9" fillId="0" borderId="1" xfId="38" applyNumberFormat="1" applyFont="1" applyFill="1" applyBorder="1" applyAlignment="1">
      <alignment vertical="top" wrapText="1"/>
    </xf>
    <xf numFmtId="49" fontId="9" fillId="0" borderId="49" xfId="38" applyNumberFormat="1" applyFont="1" applyFill="1" applyBorder="1" applyAlignment="1">
      <alignment horizontal="left" vertical="top" wrapText="1"/>
    </xf>
    <xf numFmtId="49" fontId="9" fillId="0" borderId="44" xfId="38" applyNumberFormat="1" applyFont="1" applyFill="1" applyBorder="1" applyAlignment="1">
      <alignment horizontal="left" vertical="top" wrapText="1"/>
    </xf>
    <xf numFmtId="0" fontId="17" fillId="0" borderId="0" xfId="38" applyFont="1" applyFill="1" applyAlignment="1">
      <alignment horizontal="left" vertical="center" wrapText="1"/>
    </xf>
    <xf numFmtId="165" fontId="13" fillId="0" borderId="23" xfId="8" applyFont="1" applyFill="1" applyBorder="1" applyAlignment="1">
      <alignment horizontal="center" vertical="center"/>
    </xf>
    <xf numFmtId="165" fontId="13" fillId="0" borderId="37" xfId="8" applyFont="1" applyFill="1" applyBorder="1" applyAlignment="1">
      <alignment horizontal="center" vertical="center"/>
    </xf>
    <xf numFmtId="49" fontId="9" fillId="0" borderId="39" xfId="38" applyNumberFormat="1" applyFont="1" applyFill="1" applyBorder="1" applyAlignment="1">
      <alignment horizontal="left" vertical="top" wrapText="1"/>
    </xf>
    <xf numFmtId="49" fontId="9" fillId="0" borderId="29" xfId="38" applyNumberFormat="1" applyFont="1" applyFill="1" applyBorder="1" applyAlignment="1">
      <alignment horizontal="left" vertical="top" wrapText="1"/>
    </xf>
    <xf numFmtId="0" fontId="13" fillId="0" borderId="13" xfId="38" applyFont="1" applyFill="1" applyBorder="1" applyAlignment="1">
      <alignment horizontal="center" vertical="center" wrapText="1"/>
    </xf>
    <xf numFmtId="0" fontId="13" fillId="0" borderId="14" xfId="38" applyFont="1" applyFill="1" applyBorder="1" applyAlignment="1">
      <alignment horizontal="center" vertical="center" wrapText="1"/>
    </xf>
    <xf numFmtId="0" fontId="13" fillId="0" borderId="15" xfId="38" applyFont="1" applyFill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right" wrapText="1"/>
    </xf>
  </cellXfs>
  <cellStyles count="46">
    <cellStyle name="Обычный" xfId="0" builtinId="0"/>
    <cellStyle name="Обычный 10" xfId="32" xr:uid="{00000000-0005-0000-0000-000001000000}"/>
    <cellStyle name="Обычный 11" xfId="38" xr:uid="{00000000-0005-0000-0000-000002000000}"/>
    <cellStyle name="Обычный 12" xfId="39" xr:uid="{00000000-0005-0000-0000-000003000000}"/>
    <cellStyle name="Обычный 13" xfId="40" xr:uid="{00000000-0005-0000-0000-000004000000}"/>
    <cellStyle name="Обычный 14" xfId="44" xr:uid="{00000000-0005-0000-0000-000005000000}"/>
    <cellStyle name="Обычный 2" xfId="1" xr:uid="{00000000-0005-0000-0000-000006000000}"/>
    <cellStyle name="Обычный 2 2" xfId="15" xr:uid="{00000000-0005-0000-0000-000007000000}"/>
    <cellStyle name="Обычный 2 2 2" xfId="11" xr:uid="{00000000-0005-0000-0000-000008000000}"/>
    <cellStyle name="Обычный 2 3" xfId="16" xr:uid="{00000000-0005-0000-0000-000009000000}"/>
    <cellStyle name="Обычный 3" xfId="2" xr:uid="{00000000-0005-0000-0000-00000A000000}"/>
    <cellStyle name="Обычный 3 2" xfId="14" xr:uid="{00000000-0005-0000-0000-00000B000000}"/>
    <cellStyle name="Обычный 4" xfId="3" xr:uid="{00000000-0005-0000-0000-00000C000000}"/>
    <cellStyle name="Обычный 4 2" xfId="17" xr:uid="{00000000-0005-0000-0000-00000D000000}"/>
    <cellStyle name="Обычный 5" xfId="18" xr:uid="{00000000-0005-0000-0000-00000E000000}"/>
    <cellStyle name="Обычный 5 2" xfId="19" xr:uid="{00000000-0005-0000-0000-00000F000000}"/>
    <cellStyle name="Обычный 6" xfId="20" xr:uid="{00000000-0005-0000-0000-000010000000}"/>
    <cellStyle name="Обычный 7" xfId="21" xr:uid="{00000000-0005-0000-0000-000011000000}"/>
    <cellStyle name="Обычный 8" xfId="22" xr:uid="{00000000-0005-0000-0000-000012000000}"/>
    <cellStyle name="Обычный 8 2" xfId="12" xr:uid="{00000000-0005-0000-0000-000013000000}"/>
    <cellStyle name="Обычный 8 2 2" xfId="36" xr:uid="{00000000-0005-0000-0000-000014000000}"/>
    <cellStyle name="Обычный 8 2 2 2" xfId="37" xr:uid="{00000000-0005-0000-0000-000015000000}"/>
    <cellStyle name="Обычный 9" xfId="23" xr:uid="{00000000-0005-0000-0000-000016000000}"/>
    <cellStyle name="Обычный_Ф_Анализ расходования ФОТ с 01.04" xfId="34" xr:uid="{00000000-0005-0000-0000-000017000000}"/>
    <cellStyle name="Обычный_Ф_Анализ расходования ФОТ с 1.11" xfId="33" xr:uid="{00000000-0005-0000-0000-000018000000}"/>
    <cellStyle name="Процентный" xfId="4" builtinId="5"/>
    <cellStyle name="Процентный 2" xfId="5" xr:uid="{00000000-0005-0000-0000-00001A000000}"/>
    <cellStyle name="Процентный 2 2" xfId="24" xr:uid="{00000000-0005-0000-0000-00001B000000}"/>
    <cellStyle name="Процентный 3" xfId="25" xr:uid="{00000000-0005-0000-0000-00001C000000}"/>
    <cellStyle name="Процентный 4" xfId="42" xr:uid="{00000000-0005-0000-0000-00001D000000}"/>
    <cellStyle name="Процентный 5" xfId="45" xr:uid="{00000000-0005-0000-0000-00001E000000}"/>
    <cellStyle name="Финансовый" xfId="6" builtinId="3"/>
    <cellStyle name="Финансовый 2" xfId="7" xr:uid="{00000000-0005-0000-0000-000020000000}"/>
    <cellStyle name="Финансовый 2 2" xfId="9" xr:uid="{00000000-0005-0000-0000-000021000000}"/>
    <cellStyle name="Финансовый 2 3" xfId="10" xr:uid="{00000000-0005-0000-0000-000022000000}"/>
    <cellStyle name="Финансовый 2 3 2" xfId="31" xr:uid="{00000000-0005-0000-0000-000023000000}"/>
    <cellStyle name="Финансовый 21" xfId="26" xr:uid="{00000000-0005-0000-0000-000024000000}"/>
    <cellStyle name="Финансовый 3" xfId="8" xr:uid="{00000000-0005-0000-0000-000025000000}"/>
    <cellStyle name="Финансовый 4" xfId="27" xr:uid="{00000000-0005-0000-0000-000026000000}"/>
    <cellStyle name="Финансовый 4 2" xfId="28" xr:uid="{00000000-0005-0000-0000-000027000000}"/>
    <cellStyle name="Финансовый 4 3" xfId="35" xr:uid="{00000000-0005-0000-0000-000028000000}"/>
    <cellStyle name="Финансовый 5" xfId="29" xr:uid="{00000000-0005-0000-0000-000029000000}"/>
    <cellStyle name="Финансовый 6" xfId="13" xr:uid="{00000000-0005-0000-0000-00002A000000}"/>
    <cellStyle name="Финансовый 7" xfId="30" xr:uid="{00000000-0005-0000-0000-00002B000000}"/>
    <cellStyle name="Финансовый 8" xfId="41" xr:uid="{00000000-0005-0000-0000-00002C000000}"/>
    <cellStyle name="Финансовый 9" xfId="43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1080;&#1085;&#1092;&#1086;&#1088;&#1084;&#1072;&#1094;&#1080;&#1103;%20&#1076;&#1083;&#1103;%20&#1074;&#1089;&#1077;&#1093;\&#1044;&#1086;&#1082;&#1091;&#1084;&#1077;&#1085;&#1090;&#1099;\&#1050;&#1083;&#1080;&#1085;&#1080;&#1082;&#1072;\&#1055;&#1083;&#1072;&#1090;&#1085;&#1099;&#1077;%20&#1091;&#1089;&#1083;&#1091;&#1075;&#1080;\&#1050;&#1072;&#1083;&#1100;&#1082;&#1091;&#1083;&#1103;&#1094;&#1080;&#1080;%202009%20&#1075;&#1086;&#1076;\&#1080;&#1085;&#1086;&#1089;&#1090;&#1088;&#1072;&#1085;&#1094;&#1099;\&#1052;&#1086;&#1080;%20&#1076;&#1086;&#1082;&#1091;&#1084;&#1077;&#1085;&#1090;&#1099;\&#1050;&#1083;&#1080;&#1085;&#1080;&#1082;&#1072;\&#1050;&#1086;&#1088;&#1088;&#1077;&#1082;&#1090;&#1080;&#1088;&#1086;&#1074;&#1082;&#1072;\&#1054;&#1078;&#1080;&#1076;.%20&#1080;&#1089;&#1087;.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54;&#1048;%20&#1044;&#1054;&#1050;&#1059;&#1052;&#1045;&#1053;&#1058;&#1067;\&#1050;&#1051;&#1048;&#1053;&#1048;&#1063;&#1045;&#1057;&#1050;&#1048;&#1045;%20&#1048;&#1057;&#1055;&#1067;&#1058;&#1040;&#1053;&#1048;&#1071;\&#1052;&#1077;&#1076;&#1080;&#1094;&#1080;&#1085;&#1089;&#1082;&#1080;&#1077;%20&#1080;&#1089;&#1087;&#1099;&#1090;&#1072;&#1085;&#1080;&#1103;%202018\&#1050;&#1091;&#1083;&#1077;&#1096;%20&#1057;.&#1044;\OS-3004\&#1055;&#1086;&#1076;&#1075;&#1086;&#1090;&#1086;&#1074;&#1082;&#1072;%20&#1076;&#1086;&#1075;&#1086;&#1074;&#1086;&#1088;&#1072;%20RPC01-201\&#1059;&#1047;%20&#1043;&#1054;&#1050;&#104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1;&#1048;&#1053;&#1048;&#1063;&#1045;&#1057;&#1050;&#1048;&#1045;%20&#1048;&#1057;&#1055;&#1067;&#1058;&#1040;&#1053;&#1048;&#1071;\&#1052;&#1077;&#1076;&#1080;&#1094;&#1080;&#1085;&#1089;&#1082;&#1080;&#1077;%20&#1080;&#1089;&#1087;&#1099;&#1090;&#1072;&#1085;&#1080;&#1103;%202019\&#1055;&#1080;&#1097;&#1080;&#1082;\&#1055;&#1086;&#1076;&#1075;&#1086;&#1090;&#1086;&#1074;&#1082;&#1072;%20&#1076;&#1086;&#1075;&#1086;&#1074;&#1086;&#1088;&#1072;%20RPC01-201\&#1059;&#1047;%20&#1043;&#1054;&#1050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1080;&#1085;&#1092;&#1086;&#1088;&#1084;&#1072;&#1094;&#1080;&#1103;%20&#1076;&#1083;&#1103;%20&#1074;&#1089;&#1077;&#1093;\&#1044;&#1086;&#1082;&#1091;&#1084;&#1077;&#1085;&#1090;&#1099;\&#1050;&#1051;&#1048;&#1053;&#1048;&#1050;&#1040;\&#1050;&#1051;&#1048;&#1053;&#1048;&#1063;&#1045;&#1057;&#1050;&#1048;&#1045;%20&#1048;&#1057;&#1055;&#1067;&#1058;&#1040;&#1053;&#1048;&#1071;\&#1047;&#1086;&#1073;&#1085;&#1080;&#1085;&#1072;%20&#1050;&#1051;&#1069;&#1056;\&#1052;&#1086;&#1080;%20&#1076;&#1086;&#1082;&#1091;&#1084;&#1077;&#1085;&#1090;&#1099;\&#1050;&#1083;&#1080;&#1085;&#1080;&#1082;&#1072;\&#1050;&#1086;&#1088;&#1088;&#1077;&#1082;&#1090;&#1080;&#1088;&#1086;&#1074;&#1082;&#1072;\&#1054;&#1078;&#1080;&#1076;.%20&#1080;&#1089;&#1087;.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1080;&#1085;&#1092;&#1086;&#1088;&#1084;&#1072;&#1094;&#1080;&#1103;%20&#1076;&#1083;&#1103;%20&#1074;&#1089;&#1077;&#1093;\&#1052;&#1086;&#1080;%20&#1076;&#1086;&#1082;&#1091;&#1084;&#1077;&#1085;&#1090;&#1099;\&#1050;&#1083;&#1080;&#1085;&#1080;&#1082;&#1072;\&#1050;&#1086;&#1088;&#1088;&#1077;&#1082;&#1090;&#1080;&#1088;&#1086;&#1074;&#1082;&#1072;\&#1054;&#1078;&#1080;&#1076;.%20&#1080;&#1089;&#1087;.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&#1080;&#1085;&#1092;&#1086;&#1088;&#1084;&#1072;&#1094;&#1080;&#1103;%20&#1076;&#1083;&#1103;%20&#1074;&#1089;&#1077;&#1093;\&#1052;&#1086;&#1080;%20&#1076;&#1086;&#1082;&#1091;&#1084;&#1077;&#1085;&#1090;&#1099;\&#1050;&#1083;&#1080;&#1085;&#1080;&#1082;&#1072;\&#1050;&#1086;&#1088;&#1088;&#1077;&#1082;&#1090;&#1080;&#1088;&#1086;&#1074;&#1082;&#1072;\&#1044;%20&#1057;%20&#1055;%20&#1050;\&#1057;&#1084;&#1077;&#1090;&#1072;%20(&#1089;&#1087;)\&#1060;%20&#1054;%20&#1058;%20(&#1089;&#1087;)\&#1047;&#1055;%20&#1103;&#1085;&#1074;.(&#1089;&#1087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!_disc_g\&#1052;&#1054;&#1048;%20&#1044;&#1054;&#1050;&#1059;&#1052;&#1045;&#1053;&#1058;&#1067;\&#1053;&#1040;&#1050;&#1051;&#1040;&#1044;&#1053;&#1067;&#1045;%20&#1056;&#1040;&#1057;&#1061;&#1054;&#1044;&#1067;\&#1085;&#1072;%202024%20&#1079;&#1072;%202023\!!!%20&#1053;&#1072;&#1082;&#1083;&#1072;&#1076;&#1085;&#1099;&#1077;%20&#1088;&#1072;&#1089;&#1093;&#1086;&#1076;&#1099;%20&#1085;&#107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Ут план"/>
      <sheetName val="Ожид исп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 ЗП"/>
      <sheetName val="1 мин"/>
      <sheetName val="зарплата"/>
      <sheetName val="Кальк"/>
      <sheetName val="нормы "/>
      <sheetName val="нормы лек"/>
      <sheetName val="уровень"/>
      <sheetName val="протоко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 ЗП"/>
      <sheetName val="1 мин"/>
      <sheetName val="зарплата"/>
      <sheetName val="Кальк"/>
      <sheetName val="нормы "/>
      <sheetName val="нормы лек"/>
      <sheetName val="уровень"/>
      <sheetName val="протоко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Ут план"/>
      <sheetName val="Ожид исп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Ут план"/>
      <sheetName val="Ожид исп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 окл."/>
      <sheetName val="Надб."/>
      <sheetName val="Зам. отп."/>
      <sheetName val="Переч. отп."/>
      <sheetName val="Праз"/>
      <sheetName val="Переч. праз"/>
      <sheetName val="Ночн мес"/>
      <sheetName val="Переч. ноч"/>
      <sheetName val="Небл."/>
      <sheetName val="ФОТмес"/>
      <sheetName val="ФОТ"/>
      <sheetName val="Переч. отп. мес"/>
      <sheetName val="Зам. отп. март"/>
      <sheetName val="Зам. отп. апр"/>
      <sheetName val="Зам. отп.май"/>
      <sheetName val="Зам. отп.июн"/>
      <sheetName val="Зам. отп.июл"/>
      <sheetName val="Зам. отп.авг"/>
      <sheetName val="Зам. отп.окт"/>
      <sheetName val="Зам. отп.ноя"/>
      <sheetName val="Праз янв"/>
      <sheetName val="Праз март"/>
      <sheetName val="Праз май"/>
      <sheetName val="Праз июл"/>
      <sheetName val="Праз ноя"/>
      <sheetName val="Праз дек"/>
      <sheetName val="Ночн(ср)"/>
      <sheetName val="Ночн мес (2)"/>
      <sheetName val="ФОТмес (2)"/>
      <sheetName val="Ночн"/>
      <sheetName val="ФОТсент"/>
      <sheetName val="Кричев"/>
      <sheetName val="ФОТ (2)"/>
    </sheetNames>
    <sheetDataSet>
      <sheetData sheetId="0">
        <row r="14">
          <cell r="E14">
            <v>71.878</v>
          </cell>
          <cell r="J14">
            <v>51.3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ладные расчеты на 2024"/>
      <sheetName val="Доп. зарплата"/>
      <sheetName val="бюджет +внебюджет"/>
      <sheetName val="бюджет 2023"/>
      <sheetName val="внебюджет 2023"/>
      <sheetName val="Амортизация за 2023 на 2024"/>
      <sheetName val="По видам выплат-внебюджет"/>
    </sheetNames>
    <sheetDataSet>
      <sheetData sheetId="0"/>
      <sheetData sheetId="1"/>
      <sheetData sheetId="2">
        <row r="85">
          <cell r="A85" t="str">
            <v>По тарификации</v>
          </cell>
          <cell r="L85">
            <v>4524595.25</v>
          </cell>
        </row>
        <row r="86">
          <cell r="L86">
            <v>36566.65</v>
          </cell>
        </row>
        <row r="89">
          <cell r="A89" t="str">
            <v>за работу на условиях контракта</v>
          </cell>
          <cell r="L89">
            <v>796921.89</v>
          </cell>
        </row>
        <row r="90">
          <cell r="A90" t="str">
            <v>за стаж работы</v>
          </cell>
          <cell r="L90">
            <v>757259.25</v>
          </cell>
        </row>
        <row r="91">
          <cell r="A91" t="str">
            <v>за специфику работы (за категорию)</v>
          </cell>
          <cell r="L91">
            <v>834896.76</v>
          </cell>
        </row>
        <row r="92">
          <cell r="A92" t="str">
            <v>за сложность и напряженность работы</v>
          </cell>
          <cell r="L92">
            <v>3746378.1</v>
          </cell>
        </row>
        <row r="93">
          <cell r="A93" t="str">
            <v>за высокие достижения в труде</v>
          </cell>
          <cell r="L93">
            <v>0</v>
          </cell>
        </row>
        <row r="94">
          <cell r="A94" t="str">
            <v>за обеспечение показателей деятельности учреждения</v>
          </cell>
          <cell r="L94">
            <v>4.07</v>
          </cell>
        </row>
        <row r="95">
          <cell r="A95" t="str">
            <v>медицинским работникам за работу в университетской клинике</v>
          </cell>
        </row>
        <row r="96">
          <cell r="A96" t="str">
            <v>за применение (участие в применении) новых, сложных и уникальных методов оказания медпомощи</v>
          </cell>
          <cell r="L96">
            <v>1264772.52</v>
          </cell>
        </row>
        <row r="97">
          <cell r="A97" t="str">
            <v>за специфику работы (врачам-специалистам и среднему медперсоналу, оказывающим медпомощь в амбулаторных условиях)</v>
          </cell>
          <cell r="L97">
            <v>359220.22</v>
          </cell>
        </row>
        <row r="98">
          <cell r="A98" t="str">
            <v>за специфику работы (врачам-специалистам хирургического профиля)</v>
          </cell>
          <cell r="L98">
            <v>331780.12</v>
          </cell>
        </row>
        <row r="99">
          <cell r="A99" t="str">
            <v>за специфику работы (врачам-интернам, провизорам-интернам)</v>
          </cell>
          <cell r="L99">
            <v>38391.120000000003</v>
          </cell>
        </row>
        <row r="101">
          <cell r="A101" t="str">
            <v xml:space="preserve">за особенности профессиональной деятельности </v>
          </cell>
          <cell r="L101">
            <v>422684.6</v>
          </cell>
        </row>
        <row r="102">
          <cell r="A102" t="str">
            <v>молодым специалистам</v>
          </cell>
          <cell r="L102">
            <v>56025.439999999995</v>
          </cell>
        </row>
        <row r="103">
          <cell r="A103" t="str">
            <v>за ученые звания и степени</v>
          </cell>
          <cell r="L103">
            <v>6485.4</v>
          </cell>
        </row>
        <row r="104">
          <cell r="L104">
            <v>4867360.0999999996</v>
          </cell>
        </row>
        <row r="107">
          <cell r="A107" t="str">
            <v>Замещающим уходящих в отпуск</v>
          </cell>
          <cell r="L107">
            <v>2294570.56</v>
          </cell>
        </row>
        <row r="108">
          <cell r="A108" t="str">
            <v>Замещающим на время специализации / командировки / на время свободного дня</v>
          </cell>
          <cell r="L108">
            <v>523910.63</v>
          </cell>
        </row>
        <row r="109">
          <cell r="A109" t="str">
            <v>Оплата по среднему на время командировки</v>
          </cell>
          <cell r="L109">
            <v>85453.14</v>
          </cell>
        </row>
        <row r="110">
          <cell r="A110" t="str">
            <v>За работу в праздничные дни</v>
          </cell>
          <cell r="L110">
            <v>71431.540000000008</v>
          </cell>
        </row>
        <row r="111">
          <cell r="A111" t="str">
            <v>За работу в ночное время</v>
          </cell>
          <cell r="L111">
            <v>429689.14999999997</v>
          </cell>
        </row>
        <row r="112">
          <cell r="A112" t="str">
            <v>За реализацию организационно-распорядительной функции врачам-специалистам, "старшим" медработникам</v>
          </cell>
        </row>
        <row r="113">
          <cell r="A113" t="str">
            <v>За особый характер труда</v>
          </cell>
          <cell r="L113">
            <v>681822.94000000006</v>
          </cell>
        </row>
        <row r="114">
          <cell r="A114" t="str">
            <v>За работу  во вредных условиях труда по результатам аттестации рабочих мест</v>
          </cell>
        </row>
        <row r="117">
          <cell r="A117" t="str">
            <v>За совмещение должностей (профессий), за расширенную зону обслуживания</v>
          </cell>
          <cell r="L117">
            <v>816656.04</v>
          </cell>
        </row>
        <row r="118">
          <cell r="A118" t="str">
            <v>Оплата за вызова при дежурстве на дому</v>
          </cell>
          <cell r="L118">
            <v>24419.4</v>
          </cell>
        </row>
        <row r="119">
          <cell r="A119" t="str">
            <v>За сверхурочную работу</v>
          </cell>
          <cell r="L119">
            <v>11232.28</v>
          </cell>
        </row>
        <row r="120">
          <cell r="A120" t="str">
            <v>Доплаты до средней зарплаты</v>
          </cell>
          <cell r="L120">
            <v>6651.5300000000007</v>
          </cell>
        </row>
        <row r="121">
          <cell r="L121">
            <v>-620.30000000000007</v>
          </cell>
        </row>
        <row r="122">
          <cell r="A122" t="str">
            <v>Доплаты до минимальной заработной платы</v>
          </cell>
          <cell r="L122">
            <v>0</v>
          </cell>
        </row>
        <row r="123">
          <cell r="A123" t="str">
            <v>Доплаты взамен ППС</v>
          </cell>
          <cell r="L123">
            <v>409477.93</v>
          </cell>
        </row>
        <row r="124">
          <cell r="A124" t="str">
            <v>Прочие доплаты</v>
          </cell>
          <cell r="L124">
            <v>211.43</v>
          </cell>
        </row>
        <row r="128">
          <cell r="A128" t="str">
            <v>Премирование</v>
          </cell>
          <cell r="L128">
            <v>2084383.8099999998</v>
          </cell>
        </row>
        <row r="129">
          <cell r="A129" t="str">
            <v>Единовременная выплата на оздоровление</v>
          </cell>
          <cell r="L129">
            <v>364749.22000000003</v>
          </cell>
        </row>
        <row r="130">
          <cell r="A130" t="str">
            <v>Материальная помощь</v>
          </cell>
          <cell r="L130">
            <v>125135.81</v>
          </cell>
        </row>
        <row r="131">
          <cell r="L131">
            <v>56110.079999999994</v>
          </cell>
        </row>
        <row r="133">
          <cell r="L133">
            <v>3601</v>
          </cell>
        </row>
        <row r="195">
          <cell r="L195">
            <v>8873303.2700000014</v>
          </cell>
        </row>
      </sheetData>
      <sheetData sheetId="3"/>
      <sheetData sheetId="4"/>
      <sheetData sheetId="5">
        <row r="6">
          <cell r="D6">
            <v>2748683.64</v>
          </cell>
        </row>
        <row r="25">
          <cell r="D25">
            <v>572316.71000000008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opLeftCell="A7" zoomScaleNormal="100" workbookViewId="0">
      <selection activeCell="L11" sqref="L11"/>
    </sheetView>
  </sheetViews>
  <sheetFormatPr defaultRowHeight="12.75" x14ac:dyDescent="0.2"/>
  <cols>
    <col min="1" max="1" width="6.42578125" style="227" customWidth="1"/>
    <col min="2" max="2" width="49.42578125" style="167" customWidth="1"/>
    <col min="3" max="3" width="17.5703125" style="167" hidden="1" customWidth="1"/>
    <col min="4" max="4" width="19" style="565" customWidth="1"/>
    <col min="5" max="5" width="15.42578125" style="167" customWidth="1"/>
    <col min="6" max="6" width="16" style="167" customWidth="1"/>
    <col min="7" max="7" width="15.85546875" style="167" customWidth="1"/>
    <col min="8" max="8" width="15.7109375" style="167" customWidth="1"/>
    <col min="9" max="9" width="14.5703125" style="167" bestFit="1" customWidth="1"/>
    <col min="10" max="16384" width="9.140625" style="167"/>
  </cols>
  <sheetData>
    <row r="1" spans="1:9" ht="89.25" customHeight="1" x14ac:dyDescent="0.2">
      <c r="C1" s="676" t="s">
        <v>41</v>
      </c>
      <c r="D1" s="676"/>
      <c r="E1" s="676"/>
      <c r="F1" s="676"/>
      <c r="G1" s="676"/>
      <c r="H1" s="234"/>
    </row>
    <row r="2" spans="1:9" ht="35.25" customHeight="1" x14ac:dyDescent="0.25">
      <c r="C2" s="7"/>
      <c r="D2" s="677" t="s">
        <v>147</v>
      </c>
      <c r="E2" s="677"/>
      <c r="F2" s="677"/>
      <c r="G2" s="677"/>
      <c r="H2" s="235"/>
    </row>
    <row r="3" spans="1:9" ht="24" customHeight="1" x14ac:dyDescent="0.3">
      <c r="D3" s="675"/>
      <c r="E3" s="675"/>
      <c r="F3" s="228"/>
      <c r="G3" s="228"/>
    </row>
    <row r="4" spans="1:9" ht="25.5" customHeight="1" x14ac:dyDescent="0.2"/>
    <row r="5" spans="1:9" s="226" customFormat="1" ht="99.75" customHeight="1" x14ac:dyDescent="0.2">
      <c r="A5" s="678" t="s">
        <v>414</v>
      </c>
      <c r="B5" s="678"/>
      <c r="C5" s="678"/>
      <c r="D5" s="678"/>
      <c r="E5" s="678"/>
      <c r="F5" s="678"/>
      <c r="G5" s="678"/>
    </row>
    <row r="6" spans="1:9" s="1" customFormat="1" ht="122.25" customHeight="1" x14ac:dyDescent="0.25">
      <c r="A6" s="229" t="s">
        <v>0</v>
      </c>
      <c r="B6" s="465" t="s">
        <v>376</v>
      </c>
      <c r="C6" s="465" t="s">
        <v>166</v>
      </c>
      <c r="D6" s="561" t="s">
        <v>385</v>
      </c>
      <c r="E6" s="465" t="s">
        <v>386</v>
      </c>
      <c r="F6" s="465" t="s">
        <v>387</v>
      </c>
      <c r="G6" s="466" t="s">
        <v>388</v>
      </c>
    </row>
    <row r="7" spans="1:9" s="40" customFormat="1" ht="23.25" customHeight="1" x14ac:dyDescent="0.2">
      <c r="A7" s="470">
        <v>1</v>
      </c>
      <c r="B7" s="471">
        <v>2</v>
      </c>
      <c r="C7" s="471" t="s">
        <v>29</v>
      </c>
      <c r="D7" s="562" t="s">
        <v>29</v>
      </c>
      <c r="E7" s="471" t="s">
        <v>30</v>
      </c>
      <c r="F7" s="471" t="s">
        <v>35</v>
      </c>
      <c r="G7" s="472" t="s">
        <v>36</v>
      </c>
    </row>
    <row r="8" spans="1:9" s="451" customFormat="1" ht="26.25" customHeight="1" x14ac:dyDescent="0.25">
      <c r="A8" s="473">
        <v>1</v>
      </c>
      <c r="B8" s="467" t="s">
        <v>265</v>
      </c>
      <c r="C8" s="468">
        <v>4</v>
      </c>
      <c r="D8" s="469"/>
      <c r="E8" s="469"/>
      <c r="F8" s="469"/>
      <c r="G8" s="474"/>
      <c r="H8" s="452"/>
    </row>
    <row r="9" spans="1:9" s="9" customFormat="1" ht="24.75" customHeight="1" x14ac:dyDescent="0.25">
      <c r="A9" s="475">
        <v>1.1000000000000001</v>
      </c>
      <c r="B9" s="462" t="str">
        <f>'Калькуляция рб'!B10</f>
        <v>Современная флебология</v>
      </c>
      <c r="C9" s="463">
        <v>4</v>
      </c>
      <c r="D9" s="464">
        <f>'Калькуляция рб'!S10</f>
        <v>1626</v>
      </c>
      <c r="E9" s="464">
        <f>D9/4</f>
        <v>406.5</v>
      </c>
      <c r="F9" s="464">
        <f>D9/3</f>
        <v>542</v>
      </c>
      <c r="G9" s="476">
        <f>D9/2</f>
        <v>813</v>
      </c>
      <c r="H9" s="230">
        <v>1</v>
      </c>
      <c r="I9" s="453"/>
    </row>
    <row r="10" spans="1:9" s="9" customFormat="1" ht="49.5" x14ac:dyDescent="0.25">
      <c r="A10" s="475">
        <v>1.2</v>
      </c>
      <c r="B10" s="462" t="str">
        <f>'Калькуляция рб'!B11</f>
        <v>Реконструктивная хирургия острой и хронической артериальной недостаточности конечностей</v>
      </c>
      <c r="C10" s="463">
        <v>4</v>
      </c>
      <c r="D10" s="464">
        <f>'Калькуляция рб'!S11</f>
        <v>1626</v>
      </c>
      <c r="E10" s="464">
        <f t="shared" ref="E10:E58" si="0">D10/4</f>
        <v>406.5</v>
      </c>
      <c r="F10" s="464">
        <f t="shared" ref="F10:F58" si="1">D10/3</f>
        <v>542</v>
      </c>
      <c r="G10" s="476">
        <f t="shared" ref="G10:G58" si="2">D10/2</f>
        <v>813</v>
      </c>
      <c r="H10" s="230">
        <v>2</v>
      </c>
    </row>
    <row r="11" spans="1:9" s="9" customFormat="1" ht="33" x14ac:dyDescent="0.25">
      <c r="A11" s="475">
        <v>1.3</v>
      </c>
      <c r="B11" s="462" t="str">
        <f>'Калькуляция рб'!B12</f>
        <v xml:space="preserve">Современные подходы в лечении вентральных грыж </v>
      </c>
      <c r="C11" s="463">
        <v>4</v>
      </c>
      <c r="D11" s="464">
        <f>'Калькуляция рб'!S12</f>
        <v>1626</v>
      </c>
      <c r="E11" s="464">
        <f t="shared" si="0"/>
        <v>406.5</v>
      </c>
      <c r="F11" s="464">
        <f t="shared" si="1"/>
        <v>542</v>
      </c>
      <c r="G11" s="476">
        <f t="shared" si="2"/>
        <v>813</v>
      </c>
      <c r="H11" s="230">
        <v>3</v>
      </c>
    </row>
    <row r="12" spans="1:9" s="9" customFormat="1" ht="21.75" customHeight="1" x14ac:dyDescent="0.25">
      <c r="A12" s="475">
        <v>1.4</v>
      </c>
      <c r="B12" s="462" t="str">
        <f>'Калькуляция рб'!B13</f>
        <v>Лапароскопия в абдоминальной хирургии</v>
      </c>
      <c r="C12" s="463">
        <v>4</v>
      </c>
      <c r="D12" s="464">
        <f>'Калькуляция рб'!S13</f>
        <v>1626</v>
      </c>
      <c r="E12" s="464">
        <f t="shared" si="0"/>
        <v>406.5</v>
      </c>
      <c r="F12" s="464">
        <f t="shared" si="1"/>
        <v>542</v>
      </c>
      <c r="G12" s="476">
        <f t="shared" si="2"/>
        <v>813</v>
      </c>
      <c r="H12" s="230">
        <v>4</v>
      </c>
    </row>
    <row r="13" spans="1:9" s="9" customFormat="1" ht="49.5" x14ac:dyDescent="0.25">
      <c r="A13" s="475">
        <v>1.5</v>
      </c>
      <c r="B13" s="462" t="str">
        <f>'Калькуляция рб'!B14</f>
        <v xml:space="preserve">Малоинвазивные методики дренирования жидкостных образований брюшной полости под УЗИ контролем </v>
      </c>
      <c r="C13" s="463">
        <v>4</v>
      </c>
      <c r="D13" s="464">
        <f>'Калькуляция рб'!S14</f>
        <v>1626</v>
      </c>
      <c r="E13" s="464">
        <f t="shared" si="0"/>
        <v>406.5</v>
      </c>
      <c r="F13" s="464">
        <f t="shared" si="1"/>
        <v>542</v>
      </c>
      <c r="G13" s="476">
        <f t="shared" si="2"/>
        <v>813</v>
      </c>
      <c r="H13" s="230">
        <v>5</v>
      </c>
    </row>
    <row r="14" spans="1:9" s="9" customFormat="1" ht="23.25" customHeight="1" x14ac:dyDescent="0.25">
      <c r="A14" s="475">
        <v>1.6</v>
      </c>
      <c r="B14" s="462" t="str">
        <f>'Калькуляция рб'!B15</f>
        <v>Хирургия хронического панкреатита</v>
      </c>
      <c r="C14" s="463">
        <v>4</v>
      </c>
      <c r="D14" s="464">
        <f>'Калькуляция рб'!S15</f>
        <v>1626</v>
      </c>
      <c r="E14" s="464">
        <f t="shared" si="0"/>
        <v>406.5</v>
      </c>
      <c r="F14" s="464">
        <f t="shared" si="1"/>
        <v>542</v>
      </c>
      <c r="G14" s="476">
        <f t="shared" si="2"/>
        <v>813</v>
      </c>
      <c r="H14" s="230">
        <v>6</v>
      </c>
    </row>
    <row r="15" spans="1:9" s="9" customFormat="1" ht="33" x14ac:dyDescent="0.25">
      <c r="A15" s="475">
        <v>1.7</v>
      </c>
      <c r="B15" s="462" t="str">
        <f>'Калькуляция рб'!B16</f>
        <v>Экстренная и плановая торакальная хирургия</v>
      </c>
      <c r="C15" s="463">
        <v>4</v>
      </c>
      <c r="D15" s="464">
        <f>'Калькуляция рб'!S16</f>
        <v>1626</v>
      </c>
      <c r="E15" s="464">
        <f t="shared" si="0"/>
        <v>406.5</v>
      </c>
      <c r="F15" s="464">
        <f t="shared" si="1"/>
        <v>542</v>
      </c>
      <c r="G15" s="476">
        <f t="shared" si="2"/>
        <v>813</v>
      </c>
      <c r="H15" s="230">
        <v>7</v>
      </c>
    </row>
    <row r="16" spans="1:9" s="9" customFormat="1" ht="23.25" customHeight="1" x14ac:dyDescent="0.25">
      <c r="A16" s="475">
        <v>1.8</v>
      </c>
      <c r="B16" s="462" t="str">
        <f>'Калькуляция рб'!B17</f>
        <v>Частные вопросы колопроктологии</v>
      </c>
      <c r="C16" s="463">
        <v>4</v>
      </c>
      <c r="D16" s="464">
        <f>'Калькуляция рб'!S17</f>
        <v>1530</v>
      </c>
      <c r="E16" s="464">
        <f t="shared" si="0"/>
        <v>382.5</v>
      </c>
      <c r="F16" s="464">
        <f t="shared" si="1"/>
        <v>510</v>
      </c>
      <c r="G16" s="476">
        <f t="shared" si="2"/>
        <v>765</v>
      </c>
      <c r="H16" s="230">
        <v>8</v>
      </c>
    </row>
    <row r="17" spans="1:8" s="9" customFormat="1" ht="41.25" customHeight="1" x14ac:dyDescent="0.25">
      <c r="A17" s="475">
        <v>1.9</v>
      </c>
      <c r="B17" s="462" t="str">
        <f>'Калькуляция рб'!B18</f>
        <v>Неотложные состояния в урологии. Этиопатогенез. Диагностика. Лечение.</v>
      </c>
      <c r="C17" s="463">
        <v>4</v>
      </c>
      <c r="D17" s="464">
        <f>'Калькуляция рб'!S18</f>
        <v>2997</v>
      </c>
      <c r="E17" s="464">
        <f t="shared" si="0"/>
        <v>749.25</v>
      </c>
      <c r="F17" s="464">
        <f t="shared" si="1"/>
        <v>999</v>
      </c>
      <c r="G17" s="476">
        <f t="shared" si="2"/>
        <v>1498.5</v>
      </c>
      <c r="H17" s="230">
        <v>9</v>
      </c>
    </row>
    <row r="18" spans="1:8" s="451" customFormat="1" ht="26.25" customHeight="1" x14ac:dyDescent="0.25">
      <c r="A18" s="477">
        <v>2</v>
      </c>
      <c r="B18" s="459" t="s">
        <v>266</v>
      </c>
      <c r="C18" s="460">
        <v>4</v>
      </c>
      <c r="D18" s="461"/>
      <c r="E18" s="464">
        <f t="shared" si="0"/>
        <v>0</v>
      </c>
      <c r="F18" s="464">
        <f t="shared" si="1"/>
        <v>0</v>
      </c>
      <c r="G18" s="476">
        <f t="shared" si="2"/>
        <v>0</v>
      </c>
      <c r="H18" s="452"/>
    </row>
    <row r="19" spans="1:8" s="9" customFormat="1" ht="47.25" customHeight="1" x14ac:dyDescent="0.25">
      <c r="A19" s="475">
        <v>2.1</v>
      </c>
      <c r="B19" s="462" t="str">
        <f>'Калькуляция рб'!B20:B20</f>
        <v>Дифференциальная диагностика бронхообструктивного синдрома</v>
      </c>
      <c r="C19" s="463">
        <v>4</v>
      </c>
      <c r="D19" s="464">
        <f>'Калькуляция рб'!S20+'Калькуляция рб'!S21</f>
        <v>519</v>
      </c>
      <c r="E19" s="464">
        <f t="shared" si="0"/>
        <v>129.75</v>
      </c>
      <c r="F19" s="464">
        <f t="shared" si="1"/>
        <v>173</v>
      </c>
      <c r="G19" s="476">
        <f t="shared" si="2"/>
        <v>259.5</v>
      </c>
      <c r="H19" s="230">
        <v>10</v>
      </c>
    </row>
    <row r="20" spans="1:8" s="9" customFormat="1" ht="42.75" customHeight="1" x14ac:dyDescent="0.25">
      <c r="A20" s="475" t="s">
        <v>91</v>
      </c>
      <c r="B20" s="462" t="str">
        <f>'Калькуляция рб'!B22</f>
        <v>Суточное мониторирование уровня глюкозы и помповая инсулинотерапия</v>
      </c>
      <c r="C20" s="463">
        <v>4</v>
      </c>
      <c r="D20" s="464">
        <f>'Калькуляция рб'!S22</f>
        <v>1419</v>
      </c>
      <c r="E20" s="464">
        <f t="shared" si="0"/>
        <v>354.75</v>
      </c>
      <c r="F20" s="464">
        <f t="shared" si="1"/>
        <v>473</v>
      </c>
      <c r="G20" s="476">
        <f t="shared" si="2"/>
        <v>709.5</v>
      </c>
      <c r="H20" s="230">
        <v>11</v>
      </c>
    </row>
    <row r="21" spans="1:8" s="9" customFormat="1" ht="57" customHeight="1" x14ac:dyDescent="0.25">
      <c r="A21" s="475" t="s">
        <v>92</v>
      </c>
      <c r="B21" s="462" t="str">
        <f>'Калькуляция рб'!B23</f>
        <v>Реперфузионная терапия при ишемическом инсульте (для врачей-неврологов)</v>
      </c>
      <c r="C21" s="463">
        <v>4</v>
      </c>
      <c r="D21" s="464">
        <f>'Калькуляция рб'!S23</f>
        <v>1431</v>
      </c>
      <c r="E21" s="464">
        <f t="shared" si="0"/>
        <v>357.75</v>
      </c>
      <c r="F21" s="464">
        <f t="shared" si="1"/>
        <v>477</v>
      </c>
      <c r="G21" s="476">
        <f t="shared" si="2"/>
        <v>715.5</v>
      </c>
      <c r="H21" s="230">
        <v>12</v>
      </c>
    </row>
    <row r="22" spans="1:8" s="9" customFormat="1" ht="58.5" customHeight="1" x14ac:dyDescent="0.25">
      <c r="A22" s="478" t="s">
        <v>93</v>
      </c>
      <c r="B22" s="479" t="str">
        <f>'Калькуляция рб'!B24</f>
        <v>Иммуномодулирующая терапия при рассеянном склерозе (для врачей-неврологов)</v>
      </c>
      <c r="C22" s="480">
        <v>4</v>
      </c>
      <c r="D22" s="481">
        <f>'Калькуляция рб'!S24</f>
        <v>1431</v>
      </c>
      <c r="E22" s="481">
        <f t="shared" si="0"/>
        <v>357.75</v>
      </c>
      <c r="F22" s="481">
        <f t="shared" si="1"/>
        <v>477</v>
      </c>
      <c r="G22" s="482">
        <f t="shared" si="2"/>
        <v>715.5</v>
      </c>
      <c r="H22" s="230">
        <v>13</v>
      </c>
    </row>
    <row r="23" spans="1:8" s="9" customFormat="1" ht="60.75" customHeight="1" x14ac:dyDescent="0.25">
      <c r="A23" s="601" t="s">
        <v>94</v>
      </c>
      <c r="B23" s="602" t="str">
        <f>'Калькуляция рб'!B25</f>
        <v>Коматозные состояния: дифференциальная диагностика и лечебная тактика.</v>
      </c>
      <c r="C23" s="603">
        <v>4</v>
      </c>
      <c r="D23" s="604">
        <f>'Калькуляция рб'!S25</f>
        <v>858</v>
      </c>
      <c r="E23" s="604">
        <f t="shared" si="0"/>
        <v>214.5</v>
      </c>
      <c r="F23" s="604">
        <f t="shared" si="1"/>
        <v>286</v>
      </c>
      <c r="G23" s="605">
        <f t="shared" si="2"/>
        <v>429</v>
      </c>
      <c r="H23" s="230">
        <v>14</v>
      </c>
    </row>
    <row r="24" spans="1:8" s="9" customFormat="1" ht="60.75" customHeight="1" x14ac:dyDescent="0.25">
      <c r="A24" s="475" t="s">
        <v>95</v>
      </c>
      <c r="B24" s="528" t="s">
        <v>402</v>
      </c>
      <c r="C24" s="529"/>
      <c r="D24" s="530">
        <f>'Калькуляция рб'!S26</f>
        <v>1431</v>
      </c>
      <c r="E24" s="530">
        <f t="shared" ref="E24" si="3">D24/4</f>
        <v>357.75</v>
      </c>
      <c r="F24" s="530">
        <f t="shared" ref="F24" si="4">D24/3</f>
        <v>477</v>
      </c>
      <c r="G24" s="531">
        <f t="shared" ref="G24" si="5">D24/2</f>
        <v>715.5</v>
      </c>
      <c r="H24" s="230">
        <v>15</v>
      </c>
    </row>
    <row r="25" spans="1:8" s="451" customFormat="1" ht="26.25" customHeight="1" x14ac:dyDescent="0.25">
      <c r="A25" s="477">
        <v>3</v>
      </c>
      <c r="B25" s="459" t="s">
        <v>271</v>
      </c>
      <c r="C25" s="460">
        <v>2</v>
      </c>
      <c r="D25" s="461"/>
      <c r="E25" s="464">
        <f t="shared" si="0"/>
        <v>0</v>
      </c>
      <c r="F25" s="464">
        <f t="shared" si="1"/>
        <v>0</v>
      </c>
      <c r="G25" s="476">
        <f t="shared" si="2"/>
        <v>0</v>
      </c>
      <c r="H25" s="452"/>
    </row>
    <row r="26" spans="1:8" s="451" customFormat="1" ht="49.5" x14ac:dyDescent="0.25">
      <c r="A26" s="475">
        <v>3.1</v>
      </c>
      <c r="B26" s="462" t="str">
        <f>'Калькуляция рб'!B28</f>
        <v>Принципы диагностики злокачественных новообразований основных локализаций для врачей-онкологов</v>
      </c>
      <c r="C26" s="463">
        <v>4</v>
      </c>
      <c r="D26" s="464">
        <f>'Калькуляция рб'!S28</f>
        <v>1731</v>
      </c>
      <c r="E26" s="464">
        <f t="shared" si="0"/>
        <v>432.75</v>
      </c>
      <c r="F26" s="464">
        <f t="shared" si="1"/>
        <v>577</v>
      </c>
      <c r="G26" s="476">
        <f t="shared" si="2"/>
        <v>865.5</v>
      </c>
      <c r="H26" s="452">
        <v>16</v>
      </c>
    </row>
    <row r="27" spans="1:8" s="451" customFormat="1" ht="49.5" x14ac:dyDescent="0.25">
      <c r="A27" s="475">
        <v>3.2</v>
      </c>
      <c r="B27" s="462" t="str">
        <f>'Калькуляция рб'!B29</f>
        <v xml:space="preserve">Принципы диагностики злокачественных новообразований основных локализаций для врачей-хирургов </v>
      </c>
      <c r="C27" s="463">
        <v>4</v>
      </c>
      <c r="D27" s="464">
        <f>'Калькуляция рб'!S29</f>
        <v>1695</v>
      </c>
      <c r="E27" s="464">
        <f t="shared" si="0"/>
        <v>423.75</v>
      </c>
      <c r="F27" s="464">
        <f t="shared" si="1"/>
        <v>565</v>
      </c>
      <c r="G27" s="476">
        <f t="shared" si="2"/>
        <v>847.5</v>
      </c>
      <c r="H27" s="452">
        <v>17</v>
      </c>
    </row>
    <row r="28" spans="1:8" s="451" customFormat="1" ht="99" x14ac:dyDescent="0.25">
      <c r="A28" s="475" t="s">
        <v>381</v>
      </c>
      <c r="B28" s="462" t="str">
        <f>'Калькуляция рб'!B30</f>
        <v xml:space="preserve">Современные аспекты диагностики, лечения и профилактики злокачественных новообразований органов малого таза и наружных половых органов у женского населения (для врачей-акушеров-гинекологов) </v>
      </c>
      <c r="C28" s="463">
        <v>4</v>
      </c>
      <c r="D28" s="464">
        <f>'Калькуляция рб'!S30</f>
        <v>1698</v>
      </c>
      <c r="E28" s="464">
        <f t="shared" si="0"/>
        <v>424.5</v>
      </c>
      <c r="F28" s="464">
        <f t="shared" si="1"/>
        <v>566</v>
      </c>
      <c r="G28" s="476">
        <f t="shared" si="2"/>
        <v>849</v>
      </c>
      <c r="H28" s="452">
        <v>18</v>
      </c>
    </row>
    <row r="29" spans="1:8" s="451" customFormat="1" ht="49.5" x14ac:dyDescent="0.25">
      <c r="A29" s="475">
        <v>3.4</v>
      </c>
      <c r="B29" s="462" t="str">
        <f>'Калькуляция рб'!B31</f>
        <v>Обще принципы диагностики опухолей головы и шеи (для врачей общей практики)</v>
      </c>
      <c r="C29" s="463">
        <v>4</v>
      </c>
      <c r="D29" s="464">
        <f>'Калькуляция рб'!S31</f>
        <v>639</v>
      </c>
      <c r="E29" s="464">
        <f t="shared" si="0"/>
        <v>159.75</v>
      </c>
      <c r="F29" s="464">
        <f t="shared" si="1"/>
        <v>213</v>
      </c>
      <c r="G29" s="476">
        <f t="shared" si="2"/>
        <v>319.5</v>
      </c>
      <c r="H29" s="452">
        <v>19</v>
      </c>
    </row>
    <row r="30" spans="1:8" s="451" customFormat="1" ht="26.25" customHeight="1" x14ac:dyDescent="0.25">
      <c r="A30" s="477">
        <v>4</v>
      </c>
      <c r="B30" s="459" t="s">
        <v>278</v>
      </c>
      <c r="C30" s="460">
        <v>4</v>
      </c>
      <c r="D30" s="461"/>
      <c r="E30" s="464">
        <f t="shared" si="0"/>
        <v>0</v>
      </c>
      <c r="F30" s="464">
        <f t="shared" si="1"/>
        <v>0</v>
      </c>
      <c r="G30" s="476">
        <f t="shared" si="2"/>
        <v>0</v>
      </c>
      <c r="H30" s="452"/>
    </row>
    <row r="31" spans="1:8" s="9" customFormat="1" ht="16.5" x14ac:dyDescent="0.25">
      <c r="A31" s="475">
        <v>4.0999999999999996</v>
      </c>
      <c r="B31" s="462" t="str">
        <f>'Калькуляция рб'!B33</f>
        <v xml:space="preserve">Диагностика опухолей ЛОР-органов </v>
      </c>
      <c r="C31" s="463">
        <v>4</v>
      </c>
      <c r="D31" s="464">
        <f>'Калькуляция рб'!S33</f>
        <v>987</v>
      </c>
      <c r="E31" s="464">
        <f t="shared" si="0"/>
        <v>246.75</v>
      </c>
      <c r="F31" s="464">
        <f t="shared" si="1"/>
        <v>329</v>
      </c>
      <c r="G31" s="476">
        <f t="shared" si="2"/>
        <v>493.5</v>
      </c>
      <c r="H31" s="230">
        <v>20</v>
      </c>
    </row>
    <row r="32" spans="1:8" s="9" customFormat="1" ht="33" x14ac:dyDescent="0.25">
      <c r="A32" s="475">
        <v>4.2</v>
      </c>
      <c r="B32" s="462" t="str">
        <f>'Калькуляция рб'!B34</f>
        <v>Современные методы исследования слуха у детей и взрослых</v>
      </c>
      <c r="C32" s="463">
        <v>4</v>
      </c>
      <c r="D32" s="464">
        <f>'Калькуляция рб'!S34</f>
        <v>987</v>
      </c>
      <c r="E32" s="464">
        <f t="shared" si="0"/>
        <v>246.75</v>
      </c>
      <c r="F32" s="464">
        <f t="shared" si="1"/>
        <v>329</v>
      </c>
      <c r="G32" s="476">
        <f t="shared" si="2"/>
        <v>493.5</v>
      </c>
      <c r="H32" s="230">
        <v>21</v>
      </c>
    </row>
    <row r="33" spans="1:8" s="451" customFormat="1" ht="26.25" customHeight="1" x14ac:dyDescent="0.25">
      <c r="A33" s="477">
        <v>5</v>
      </c>
      <c r="B33" s="459" t="s">
        <v>281</v>
      </c>
      <c r="C33" s="460">
        <v>2</v>
      </c>
      <c r="D33" s="461"/>
      <c r="E33" s="464">
        <f t="shared" si="0"/>
        <v>0</v>
      </c>
      <c r="F33" s="464">
        <f t="shared" si="1"/>
        <v>0</v>
      </c>
      <c r="G33" s="476">
        <f t="shared" si="2"/>
        <v>0</v>
      </c>
      <c r="H33" s="452"/>
    </row>
    <row r="34" spans="1:8" s="9" customFormat="1" ht="33" customHeight="1" x14ac:dyDescent="0.25">
      <c r="A34" s="475">
        <v>5.0999999999999996</v>
      </c>
      <c r="B34" s="462" t="str">
        <f>'Калькуляция рб'!B36</f>
        <v>Патологии слёзных путей у взрослых и детей</v>
      </c>
      <c r="C34" s="463">
        <v>4</v>
      </c>
      <c r="D34" s="464">
        <f>'Калькуляция рб'!S36</f>
        <v>1659</v>
      </c>
      <c r="E34" s="464">
        <f t="shared" si="0"/>
        <v>414.75</v>
      </c>
      <c r="F34" s="464">
        <f t="shared" si="1"/>
        <v>553</v>
      </c>
      <c r="G34" s="476">
        <f t="shared" si="2"/>
        <v>829.5</v>
      </c>
      <c r="H34" s="230">
        <v>22</v>
      </c>
    </row>
    <row r="35" spans="1:8" s="451" customFormat="1" ht="32.25" customHeight="1" x14ac:dyDescent="0.25">
      <c r="A35" s="477">
        <v>6</v>
      </c>
      <c r="B35" s="459" t="s">
        <v>375</v>
      </c>
      <c r="C35" s="460">
        <v>4</v>
      </c>
      <c r="D35" s="461"/>
      <c r="E35" s="464">
        <f t="shared" si="0"/>
        <v>0</v>
      </c>
      <c r="F35" s="464">
        <f t="shared" si="1"/>
        <v>0</v>
      </c>
      <c r="G35" s="476">
        <f t="shared" si="2"/>
        <v>0</v>
      </c>
      <c r="H35" s="452"/>
    </row>
    <row r="36" spans="1:8" s="9" customFormat="1" ht="33" x14ac:dyDescent="0.25">
      <c r="A36" s="475">
        <v>6.1</v>
      </c>
      <c r="B36" s="462" t="str">
        <f>'Калькуляция рб'!B38</f>
        <v>Методы экстракорпорального очищения крови в интенсивной терапии</v>
      </c>
      <c r="C36" s="463">
        <v>4</v>
      </c>
      <c r="D36" s="464">
        <f>'Калькуляция рб'!S38</f>
        <v>1779</v>
      </c>
      <c r="E36" s="464">
        <f t="shared" si="0"/>
        <v>444.75</v>
      </c>
      <c r="F36" s="464">
        <f t="shared" si="1"/>
        <v>593</v>
      </c>
      <c r="G36" s="476">
        <f t="shared" si="2"/>
        <v>889.5</v>
      </c>
      <c r="H36" s="230">
        <v>23</v>
      </c>
    </row>
    <row r="37" spans="1:8" s="9" customFormat="1" ht="33" x14ac:dyDescent="0.25">
      <c r="A37" s="475">
        <v>6.2</v>
      </c>
      <c r="B37" s="462" t="str">
        <f>'Калькуляция рб'!B39</f>
        <v>Клинические аспекты нарушений гемостаза в интенсивной терапии</v>
      </c>
      <c r="C37" s="463">
        <v>4</v>
      </c>
      <c r="D37" s="464">
        <f>'Калькуляция рб'!S39</f>
        <v>1959</v>
      </c>
      <c r="E37" s="464">
        <f t="shared" si="0"/>
        <v>489.75</v>
      </c>
      <c r="F37" s="464">
        <f t="shared" si="1"/>
        <v>653</v>
      </c>
      <c r="G37" s="476">
        <f t="shared" si="2"/>
        <v>979.5</v>
      </c>
      <c r="H37" s="230">
        <v>24</v>
      </c>
    </row>
    <row r="38" spans="1:8" s="9" customFormat="1" ht="33" x14ac:dyDescent="0.25">
      <c r="A38" s="475">
        <v>6.3</v>
      </c>
      <c r="B38" s="462" t="str">
        <f>'Калькуляция рб'!B40</f>
        <v>УЗИ в анестезиологии и интенсивной терапии</v>
      </c>
      <c r="C38" s="463">
        <v>4</v>
      </c>
      <c r="D38" s="464">
        <f>'Калькуляция рб'!S40</f>
        <v>1959</v>
      </c>
      <c r="E38" s="464">
        <f t="shared" si="0"/>
        <v>489.75</v>
      </c>
      <c r="F38" s="464">
        <f t="shared" si="1"/>
        <v>653</v>
      </c>
      <c r="G38" s="476">
        <f t="shared" si="2"/>
        <v>979.5</v>
      </c>
      <c r="H38" s="230">
        <v>25</v>
      </c>
    </row>
    <row r="39" spans="1:8" s="9" customFormat="1" ht="26.25" customHeight="1" x14ac:dyDescent="0.25">
      <c r="A39" s="475">
        <v>6.4</v>
      </c>
      <c r="B39" s="462" t="str">
        <f>'Калькуляция рб'!B41</f>
        <v>Регионарные блокады в анестезиологии</v>
      </c>
      <c r="C39" s="463">
        <v>4</v>
      </c>
      <c r="D39" s="464">
        <f>'Калькуляция рб'!S41</f>
        <v>1959</v>
      </c>
      <c r="E39" s="464">
        <f t="shared" si="0"/>
        <v>489.75</v>
      </c>
      <c r="F39" s="464">
        <f t="shared" si="1"/>
        <v>653</v>
      </c>
      <c r="G39" s="476">
        <f t="shared" si="2"/>
        <v>979.5</v>
      </c>
      <c r="H39" s="230">
        <v>26</v>
      </c>
    </row>
    <row r="40" spans="1:8" s="9" customFormat="1" ht="49.5" x14ac:dyDescent="0.25">
      <c r="A40" s="475">
        <v>6.5</v>
      </c>
      <c r="B40" s="462" t="str">
        <f>'Калькуляция рб'!B42</f>
        <v>Освоение техники сложной интубации и интубации при помощи видеоэндоскопической техники</v>
      </c>
      <c r="C40" s="463">
        <v>4</v>
      </c>
      <c r="D40" s="464">
        <f>'Калькуляция рб'!S42</f>
        <v>1959</v>
      </c>
      <c r="E40" s="464">
        <f t="shared" si="0"/>
        <v>489.75</v>
      </c>
      <c r="F40" s="464">
        <f t="shared" si="1"/>
        <v>653</v>
      </c>
      <c r="G40" s="476">
        <f t="shared" si="2"/>
        <v>979.5</v>
      </c>
      <c r="H40" s="230">
        <v>27</v>
      </c>
    </row>
    <row r="41" spans="1:8" s="451" customFormat="1" ht="26.25" customHeight="1" x14ac:dyDescent="0.25">
      <c r="A41" s="477">
        <v>7</v>
      </c>
      <c r="B41" s="459" t="s">
        <v>286</v>
      </c>
      <c r="C41" s="460">
        <v>4</v>
      </c>
      <c r="D41" s="461"/>
      <c r="E41" s="464"/>
      <c r="F41" s="464"/>
      <c r="G41" s="476"/>
      <c r="H41" s="452"/>
    </row>
    <row r="42" spans="1:8" s="9" customFormat="1" ht="49.5" x14ac:dyDescent="0.25">
      <c r="A42" s="475">
        <v>7.1</v>
      </c>
      <c r="B42" s="462" t="str">
        <f>'Калькуляция рб'!B44</f>
        <v>МРТ острого нарушения мозгового кровообращения и онкологических заболеваний</v>
      </c>
      <c r="C42" s="463">
        <v>4</v>
      </c>
      <c r="D42" s="464">
        <f>'Калькуляция рб'!S44</f>
        <v>1482</v>
      </c>
      <c r="E42" s="464">
        <f t="shared" si="0"/>
        <v>370.5</v>
      </c>
      <c r="F42" s="464">
        <f t="shared" si="1"/>
        <v>494</v>
      </c>
      <c r="G42" s="476">
        <f t="shared" si="2"/>
        <v>741</v>
      </c>
      <c r="H42" s="230">
        <v>28</v>
      </c>
    </row>
    <row r="43" spans="1:8" s="9" customFormat="1" ht="33" x14ac:dyDescent="0.25">
      <c r="A43" s="475">
        <v>7.2</v>
      </c>
      <c r="B43" s="462" t="str">
        <f>'Калькуляция рб'!B45</f>
        <v>МРТ диагностика онкологических заболеваний органов малого таза</v>
      </c>
      <c r="C43" s="463">
        <v>4</v>
      </c>
      <c r="D43" s="464">
        <f>'Калькуляция рб'!S45</f>
        <v>1482</v>
      </c>
      <c r="E43" s="464">
        <f t="shared" si="0"/>
        <v>370.5</v>
      </c>
      <c r="F43" s="464">
        <f t="shared" si="1"/>
        <v>494</v>
      </c>
      <c r="G43" s="476">
        <f t="shared" si="2"/>
        <v>741</v>
      </c>
      <c r="H43" s="230">
        <v>29</v>
      </c>
    </row>
    <row r="44" spans="1:8" s="9" customFormat="1" ht="49.5" x14ac:dyDescent="0.25">
      <c r="A44" s="475">
        <v>7.3</v>
      </c>
      <c r="B44" s="462" t="str">
        <f>'Калькуляция рб'!B46</f>
        <v>МРТ диагностика костно-суставной системы (для врачей лучевой диагностики)</v>
      </c>
      <c r="C44" s="463">
        <v>4</v>
      </c>
      <c r="D44" s="464">
        <f>'Калькуляция рб'!S46</f>
        <v>1482</v>
      </c>
      <c r="E44" s="464">
        <f t="shared" si="0"/>
        <v>370.5</v>
      </c>
      <c r="F44" s="464">
        <f t="shared" si="1"/>
        <v>494</v>
      </c>
      <c r="G44" s="476">
        <f t="shared" si="2"/>
        <v>741</v>
      </c>
      <c r="H44" s="230">
        <v>30</v>
      </c>
    </row>
    <row r="45" spans="1:8" s="9" customFormat="1" ht="33" x14ac:dyDescent="0.25">
      <c r="A45" s="475">
        <v>7.4</v>
      </c>
      <c r="B45" s="462" t="str">
        <f>'Калькуляция рб'!B47</f>
        <v>Принципы КТ диагностики онкологических заболеваний</v>
      </c>
      <c r="C45" s="463">
        <v>4</v>
      </c>
      <c r="D45" s="464">
        <f>'Калькуляция рб'!S47</f>
        <v>2046</v>
      </c>
      <c r="E45" s="464">
        <f t="shared" si="0"/>
        <v>511.5</v>
      </c>
      <c r="F45" s="464">
        <f t="shared" si="1"/>
        <v>682</v>
      </c>
      <c r="G45" s="476">
        <f t="shared" si="2"/>
        <v>1023</v>
      </c>
      <c r="H45" s="230">
        <v>31</v>
      </c>
    </row>
    <row r="46" spans="1:8" s="9" customFormat="1" ht="33" x14ac:dyDescent="0.25">
      <c r="A46" s="475">
        <v>7.5</v>
      </c>
      <c r="B46" s="462" t="str">
        <f>'Калькуляция рб'!B48</f>
        <v>Ранняя рентгенологическая диагностика онкологических заболеваний</v>
      </c>
      <c r="C46" s="463">
        <v>4</v>
      </c>
      <c r="D46" s="464">
        <f>'Калькуляция рб'!S48</f>
        <v>2001</v>
      </c>
      <c r="E46" s="464">
        <f t="shared" si="0"/>
        <v>500.25</v>
      </c>
      <c r="F46" s="464">
        <f t="shared" si="1"/>
        <v>667</v>
      </c>
      <c r="G46" s="476">
        <f t="shared" si="2"/>
        <v>1000.5</v>
      </c>
      <c r="H46" s="230">
        <v>32</v>
      </c>
    </row>
    <row r="47" spans="1:8" s="9" customFormat="1" ht="16.5" x14ac:dyDescent="0.25">
      <c r="A47" s="475">
        <v>7.6</v>
      </c>
      <c r="B47" s="462" t="str">
        <f>'Калькуляция рб'!B49</f>
        <v xml:space="preserve">Маммография </v>
      </c>
      <c r="C47" s="463">
        <v>4</v>
      </c>
      <c r="D47" s="464">
        <f>'Калькуляция рб'!S49</f>
        <v>2001</v>
      </c>
      <c r="E47" s="464">
        <f t="shared" si="0"/>
        <v>500.25</v>
      </c>
      <c r="F47" s="464">
        <f t="shared" si="1"/>
        <v>667</v>
      </c>
      <c r="G47" s="476">
        <f t="shared" si="2"/>
        <v>1000.5</v>
      </c>
      <c r="H47" s="230">
        <v>33</v>
      </c>
    </row>
    <row r="48" spans="1:8" s="9" customFormat="1" ht="66" x14ac:dyDescent="0.25">
      <c r="A48" s="475">
        <v>7.7</v>
      </c>
      <c r="B48" s="462" t="str">
        <f>'Калькуляция рб'!B50</f>
        <v>Методы функциональной диагностики заболеваний сердечно-сосудистой системы для врачей общей практики, врачей-терапевтов и врачей-кардиологов</v>
      </c>
      <c r="C48" s="463">
        <v>4</v>
      </c>
      <c r="D48" s="464">
        <f>'Калькуляция рб'!S50</f>
        <v>1302</v>
      </c>
      <c r="E48" s="464">
        <f t="shared" si="0"/>
        <v>325.5</v>
      </c>
      <c r="F48" s="464">
        <f t="shared" si="1"/>
        <v>434</v>
      </c>
      <c r="G48" s="476">
        <f t="shared" si="2"/>
        <v>651</v>
      </c>
      <c r="H48" s="230">
        <v>34</v>
      </c>
    </row>
    <row r="49" spans="1:8" s="9" customFormat="1" ht="66" x14ac:dyDescent="0.25">
      <c r="A49" s="475">
        <v>7.8</v>
      </c>
      <c r="B49" s="462" t="str">
        <f>'Калькуляция рб'!B51</f>
        <v>Методы функциональной диагностики заболеваний сердечно-сосудистой системы для врачей функциональной диагностики</v>
      </c>
      <c r="C49" s="463">
        <v>4</v>
      </c>
      <c r="D49" s="464">
        <f>'Калькуляция рб'!S51</f>
        <v>1302</v>
      </c>
      <c r="E49" s="464">
        <f t="shared" si="0"/>
        <v>325.5</v>
      </c>
      <c r="F49" s="464">
        <f t="shared" si="1"/>
        <v>434</v>
      </c>
      <c r="G49" s="476">
        <f t="shared" si="2"/>
        <v>651</v>
      </c>
      <c r="H49" s="230">
        <v>35</v>
      </c>
    </row>
    <row r="50" spans="1:8" s="9" customFormat="1" ht="33" x14ac:dyDescent="0.25">
      <c r="A50" s="475">
        <v>7.9</v>
      </c>
      <c r="B50" s="462" t="str">
        <f>'Калькуляция рб'!B52</f>
        <v>Ультразвуковая диагностика заболеваний брахиоцефальных артерий</v>
      </c>
      <c r="C50" s="463">
        <v>4</v>
      </c>
      <c r="D50" s="464">
        <f>'Калькуляция рб'!S52</f>
        <v>1653</v>
      </c>
      <c r="E50" s="464">
        <f t="shared" si="0"/>
        <v>413.25</v>
      </c>
      <c r="F50" s="464">
        <f t="shared" si="1"/>
        <v>551</v>
      </c>
      <c r="G50" s="476">
        <f t="shared" si="2"/>
        <v>826.5</v>
      </c>
      <c r="H50" s="230">
        <v>36</v>
      </c>
    </row>
    <row r="51" spans="1:8" s="9" customFormat="1" ht="33" x14ac:dyDescent="0.25">
      <c r="A51" s="483">
        <v>7.1</v>
      </c>
      <c r="B51" s="462" t="str">
        <f>'Калькуляция рб'!B53</f>
        <v>Ультразвуковая диагностика заболеваний вен нижних конечностей</v>
      </c>
      <c r="C51" s="463">
        <v>4</v>
      </c>
      <c r="D51" s="464">
        <f>'Калькуляция рб'!S53</f>
        <v>1653</v>
      </c>
      <c r="E51" s="464">
        <f t="shared" si="0"/>
        <v>413.25</v>
      </c>
      <c r="F51" s="464">
        <f t="shared" si="1"/>
        <v>551</v>
      </c>
      <c r="G51" s="476">
        <f t="shared" si="2"/>
        <v>826.5</v>
      </c>
      <c r="H51" s="230">
        <v>37</v>
      </c>
    </row>
    <row r="52" spans="1:8" s="9" customFormat="1" ht="33" x14ac:dyDescent="0.25">
      <c r="A52" s="483">
        <v>7.11</v>
      </c>
      <c r="B52" s="462" t="str">
        <f>'Калькуляция рб'!B54</f>
        <v>Ультразвуковая диагностика заболеваний молочной железы</v>
      </c>
      <c r="C52" s="463">
        <v>4</v>
      </c>
      <c r="D52" s="464">
        <f>'Калькуляция рб'!S54</f>
        <v>1653</v>
      </c>
      <c r="E52" s="464">
        <f t="shared" si="0"/>
        <v>413.25</v>
      </c>
      <c r="F52" s="464">
        <f t="shared" si="1"/>
        <v>551</v>
      </c>
      <c r="G52" s="476">
        <f t="shared" si="2"/>
        <v>826.5</v>
      </c>
      <c r="H52" s="230">
        <v>38</v>
      </c>
    </row>
    <row r="53" spans="1:8" s="451" customFormat="1" ht="39" customHeight="1" x14ac:dyDescent="0.25">
      <c r="A53" s="477">
        <v>8</v>
      </c>
      <c r="B53" s="459" t="s">
        <v>293</v>
      </c>
      <c r="C53" s="460">
        <v>2</v>
      </c>
      <c r="D53" s="461"/>
      <c r="E53" s="464"/>
      <c r="F53" s="464"/>
      <c r="G53" s="476"/>
      <c r="H53" s="452"/>
    </row>
    <row r="54" spans="1:8" s="9" customFormat="1" ht="33" hidden="1" x14ac:dyDescent="0.25">
      <c r="A54" s="475">
        <v>8.1</v>
      </c>
      <c r="B54" s="462" t="str">
        <f>'Калькуляция рб'!B56</f>
        <v>Актуальные вопросы инфекционного контроля в стационаре</v>
      </c>
      <c r="C54" s="463">
        <v>4</v>
      </c>
      <c r="D54" s="464">
        <f>'Калькуляция рб'!S56</f>
        <v>0</v>
      </c>
      <c r="E54" s="464">
        <f t="shared" si="0"/>
        <v>0</v>
      </c>
      <c r="F54" s="464">
        <f t="shared" si="1"/>
        <v>0</v>
      </c>
      <c r="G54" s="476">
        <f t="shared" si="2"/>
        <v>0</v>
      </c>
      <c r="H54" s="230"/>
    </row>
    <row r="55" spans="1:8" s="9" customFormat="1" ht="85.5" customHeight="1" x14ac:dyDescent="0.25">
      <c r="A55" s="475">
        <v>8.1</v>
      </c>
      <c r="B55" s="462" t="str">
        <f>'Калькуляция рб'!B57</f>
        <v>Актуальные вопросы в практической деятельности медицинской сестры-анестезиста (медицинского брата-анестезиста) отделения анестезиологии и реанимации</v>
      </c>
      <c r="C55" s="463">
        <v>4</v>
      </c>
      <c r="D55" s="464">
        <f>'Калькуляция рб'!S57</f>
        <v>1251</v>
      </c>
      <c r="E55" s="464">
        <f t="shared" si="0"/>
        <v>312.75</v>
      </c>
      <c r="F55" s="464">
        <f t="shared" si="1"/>
        <v>417</v>
      </c>
      <c r="G55" s="476">
        <f t="shared" si="2"/>
        <v>625.5</v>
      </c>
      <c r="H55" s="230">
        <v>39</v>
      </c>
    </row>
    <row r="56" spans="1:8" s="9" customFormat="1" ht="66" x14ac:dyDescent="0.25">
      <c r="A56" s="475">
        <v>8.1999999999999993</v>
      </c>
      <c r="B56" s="462" t="str">
        <f>'Калькуляция рб'!B58</f>
        <v>Актуальные вопросы в практической деятельности медицинской сестры (медицинского брата) централизованного стерилизационного отделения</v>
      </c>
      <c r="C56" s="463">
        <v>4</v>
      </c>
      <c r="D56" s="464">
        <f>'Калькуляция рб'!S58</f>
        <v>930</v>
      </c>
      <c r="E56" s="464">
        <f t="shared" si="0"/>
        <v>232.5</v>
      </c>
      <c r="F56" s="464">
        <f t="shared" si="1"/>
        <v>310</v>
      </c>
      <c r="G56" s="476">
        <f t="shared" si="2"/>
        <v>465</v>
      </c>
      <c r="H56" s="230">
        <v>40</v>
      </c>
    </row>
    <row r="57" spans="1:8" s="9" customFormat="1" ht="69.75" customHeight="1" x14ac:dyDescent="0.25">
      <c r="A57" s="475">
        <v>8.3000000000000007</v>
      </c>
      <c r="B57" s="462" t="str">
        <f>'Калькуляция рб'!B59</f>
        <v>Актуальные вопросы в практической деятельности медицинской сестры (медицинского брата) отделения гемодиализа с экстракорпоральными методами детоксикации</v>
      </c>
      <c r="C57" s="463">
        <v>4</v>
      </c>
      <c r="D57" s="464">
        <f>'Калькуляция рб'!S59</f>
        <v>1062</v>
      </c>
      <c r="E57" s="464">
        <f t="shared" si="0"/>
        <v>265.5</v>
      </c>
      <c r="F57" s="464">
        <f t="shared" si="1"/>
        <v>354</v>
      </c>
      <c r="G57" s="476">
        <f t="shared" si="2"/>
        <v>531</v>
      </c>
      <c r="H57" s="230">
        <v>41</v>
      </c>
    </row>
    <row r="58" spans="1:8" s="9" customFormat="1" ht="69" customHeight="1" x14ac:dyDescent="0.25">
      <c r="A58" s="478" t="s">
        <v>384</v>
      </c>
      <c r="B58" s="479" t="str">
        <f>'Калькуляция рб'!B60</f>
        <v>Актуальные вопросы в практической деятельности медицинской сестры (медицинского брата) операционного хирургического блока</v>
      </c>
      <c r="C58" s="480">
        <v>4</v>
      </c>
      <c r="D58" s="481">
        <f>'Калькуляция рб'!S60</f>
        <v>1164</v>
      </c>
      <c r="E58" s="481">
        <f t="shared" si="0"/>
        <v>291</v>
      </c>
      <c r="F58" s="481">
        <f t="shared" si="1"/>
        <v>388</v>
      </c>
      <c r="G58" s="482">
        <f t="shared" si="2"/>
        <v>582</v>
      </c>
      <c r="H58" s="230">
        <v>42</v>
      </c>
    </row>
    <row r="59" spans="1:8" s="12" customFormat="1" ht="17.25" customHeight="1" x14ac:dyDescent="0.25">
      <c r="A59" s="231"/>
      <c r="D59" s="563"/>
    </row>
    <row r="60" spans="1:8" s="1" customFormat="1" ht="16.5" x14ac:dyDescent="0.25">
      <c r="A60" s="674" t="s">
        <v>25</v>
      </c>
      <c r="B60" s="674"/>
      <c r="C60" s="232"/>
      <c r="D60" s="564"/>
      <c r="E60" s="233" t="s">
        <v>34</v>
      </c>
      <c r="F60" s="233"/>
      <c r="G60" s="233"/>
    </row>
    <row r="61" spans="1:8" s="1" customFormat="1" ht="9" customHeight="1" x14ac:dyDescent="0.25">
      <c r="A61" s="232"/>
      <c r="B61" s="232"/>
      <c r="C61" s="232"/>
      <c r="D61" s="564"/>
      <c r="E61" s="233"/>
      <c r="F61" s="233"/>
      <c r="G61" s="233"/>
    </row>
    <row r="62" spans="1:8" s="1" customFormat="1" ht="21" customHeight="1" x14ac:dyDescent="0.25">
      <c r="A62" s="674" t="s">
        <v>39</v>
      </c>
      <c r="B62" s="674"/>
      <c r="C62" s="232"/>
      <c r="D62" s="564"/>
      <c r="E62" s="233" t="s">
        <v>32</v>
      </c>
      <c r="F62" s="233"/>
      <c r="G62" s="233"/>
    </row>
    <row r="63" spans="1:8" s="1" customFormat="1" ht="10.5" customHeight="1" x14ac:dyDescent="0.25">
      <c r="A63" s="232"/>
      <c r="B63" s="232"/>
      <c r="C63" s="232"/>
      <c r="D63" s="564"/>
      <c r="E63" s="233"/>
      <c r="F63" s="233"/>
      <c r="G63" s="233"/>
    </row>
    <row r="64" spans="1:8" s="1" customFormat="1" ht="16.5" customHeight="1" x14ac:dyDescent="0.25">
      <c r="A64" s="674" t="s">
        <v>22</v>
      </c>
      <c r="B64" s="674"/>
      <c r="C64" s="232"/>
      <c r="D64" s="564"/>
      <c r="E64" s="233" t="s">
        <v>33</v>
      </c>
      <c r="F64" s="233"/>
      <c r="G64" s="233"/>
    </row>
    <row r="65" spans="1:7" s="8" customFormat="1" ht="20.45" customHeight="1" x14ac:dyDescent="0.2">
      <c r="A65" s="674"/>
      <c r="B65" s="674"/>
      <c r="C65" s="232"/>
      <c r="D65" s="564"/>
      <c r="E65" s="233"/>
      <c r="F65" s="233"/>
      <c r="G65" s="233"/>
    </row>
    <row r="66" spans="1:7" ht="11.25" customHeight="1" x14ac:dyDescent="0.2"/>
    <row r="67" spans="1:7" ht="29.25" hidden="1" customHeight="1" x14ac:dyDescent="0.2">
      <c r="A67" s="674" t="s">
        <v>167</v>
      </c>
      <c r="B67" s="674"/>
      <c r="E67" s="53" t="s">
        <v>168</v>
      </c>
      <c r="F67" s="53"/>
      <c r="G67" s="53"/>
    </row>
    <row r="68" spans="1:7" hidden="1" x14ac:dyDescent="0.2"/>
    <row r="69" spans="1:7" s="8" customFormat="1" ht="38.25" hidden="1" customHeight="1" x14ac:dyDescent="0.2">
      <c r="A69" s="674" t="s">
        <v>169</v>
      </c>
      <c r="B69" s="674"/>
      <c r="C69" s="674"/>
      <c r="D69" s="566"/>
      <c r="E69" s="8" t="s">
        <v>170</v>
      </c>
    </row>
    <row r="70" spans="1:7" hidden="1" x14ac:dyDescent="0.2"/>
    <row r="82" spans="2:9" s="227" customFormat="1" ht="1.5" customHeight="1" x14ac:dyDescent="0.2">
      <c r="B82" s="167"/>
      <c r="C82" s="167"/>
      <c r="D82" s="565"/>
      <c r="E82" s="167"/>
      <c r="F82" s="167"/>
      <c r="G82" s="167"/>
      <c r="H82" s="167"/>
      <c r="I82" s="167"/>
    </row>
  </sheetData>
  <mergeCells count="10">
    <mergeCell ref="C1:G1"/>
    <mergeCell ref="D2:G2"/>
    <mergeCell ref="A5:G5"/>
    <mergeCell ref="A64:B64"/>
    <mergeCell ref="A65:B65"/>
    <mergeCell ref="A67:B67"/>
    <mergeCell ref="A69:C69"/>
    <mergeCell ref="D3:E3"/>
    <mergeCell ref="A60:B60"/>
    <mergeCell ref="A62:B62"/>
  </mergeCells>
  <pageMargins left="0.78740157480314965" right="0" top="0.78740157480314965" bottom="0.78740157480314965" header="0.51181102362204722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9"/>
  <sheetViews>
    <sheetView topLeftCell="A4" zoomScaleNormal="100" workbookViewId="0">
      <selection activeCell="H18" sqref="H18"/>
    </sheetView>
  </sheetViews>
  <sheetFormatPr defaultRowHeight="12.75" x14ac:dyDescent="0.2"/>
  <cols>
    <col min="1" max="1" width="5.140625" style="183" customWidth="1"/>
    <col min="2" max="2" width="40.5703125" style="183" customWidth="1"/>
    <col min="3" max="3" width="15.42578125" style="183" customWidth="1"/>
    <col min="4" max="4" width="20.28515625" style="183" customWidth="1"/>
    <col min="5" max="5" width="2.7109375" style="186" customWidth="1"/>
    <col min="6" max="6" width="3.7109375" style="186" customWidth="1"/>
    <col min="7" max="7" width="10.7109375" style="186" customWidth="1"/>
    <col min="8" max="8" width="12.28515625" style="186" customWidth="1"/>
    <col min="9" max="9" width="8" style="186" customWidth="1"/>
    <col min="10" max="10" width="12.5703125" style="186" customWidth="1"/>
    <col min="11" max="15" width="8" style="186" customWidth="1"/>
    <col min="16" max="16384" width="9.140625" style="186"/>
  </cols>
  <sheetData>
    <row r="1" spans="1:14" s="172" customFormat="1" ht="96" customHeight="1" x14ac:dyDescent="0.2">
      <c r="A1" s="169"/>
      <c r="B1" s="170"/>
      <c r="C1" s="756" t="s">
        <v>68</v>
      </c>
      <c r="D1" s="757"/>
      <c r="E1" s="209"/>
      <c r="F1" s="209"/>
      <c r="G1" s="209"/>
    </row>
    <row r="2" spans="1:14" s="175" customFormat="1" ht="20.25" customHeight="1" x14ac:dyDescent="0.3">
      <c r="A2" s="173"/>
      <c r="B2" s="173"/>
      <c r="C2" s="758" t="s">
        <v>42</v>
      </c>
      <c r="D2" s="758"/>
      <c r="E2" s="174"/>
      <c r="F2" s="174"/>
    </row>
    <row r="3" spans="1:14" s="175" customFormat="1" ht="18.75" customHeight="1" x14ac:dyDescent="0.3">
      <c r="A3" s="173"/>
      <c r="B3" s="173"/>
      <c r="C3" s="759" t="s">
        <v>154</v>
      </c>
      <c r="D3" s="759"/>
      <c r="E3" s="174"/>
      <c r="F3" s="174"/>
    </row>
    <row r="4" spans="1:14" s="175" customFormat="1" ht="18.75" customHeight="1" x14ac:dyDescent="0.3">
      <c r="A4" s="195"/>
      <c r="B4" s="195"/>
      <c r="C4" s="195"/>
      <c r="D4" s="195"/>
    </row>
    <row r="5" spans="1:14" s="177" customFormat="1" ht="20.25" customHeight="1" x14ac:dyDescent="0.3">
      <c r="A5" s="176"/>
      <c r="B5" s="176"/>
      <c r="C5" s="176"/>
      <c r="D5" s="176"/>
    </row>
    <row r="6" spans="1:14" s="177" customFormat="1" ht="21" customHeight="1" x14ac:dyDescent="0.3">
      <c r="A6" s="176"/>
      <c r="B6" s="176"/>
      <c r="C6" s="176"/>
      <c r="D6" s="176"/>
    </row>
    <row r="7" spans="1:14" s="177" customFormat="1" ht="60.75" customHeight="1" x14ac:dyDescent="0.3">
      <c r="A7" s="760" t="s">
        <v>155</v>
      </c>
      <c r="B7" s="760"/>
      <c r="C7" s="760"/>
      <c r="D7" s="760"/>
    </row>
    <row r="8" spans="1:14" s="177" customFormat="1" ht="19.5" x14ac:dyDescent="0.3">
      <c r="A8" s="176"/>
      <c r="B8" s="176"/>
      <c r="C8" s="176"/>
      <c r="D8" s="176"/>
    </row>
    <row r="9" spans="1:14" ht="41.25" customHeight="1" x14ac:dyDescent="0.2">
      <c r="A9" s="179" t="s">
        <v>69</v>
      </c>
      <c r="B9" s="761" t="s">
        <v>70</v>
      </c>
      <c r="C9" s="762"/>
      <c r="D9" s="179" t="s">
        <v>71</v>
      </c>
      <c r="F9" s="210"/>
    </row>
    <row r="10" spans="1:14" ht="54.75" customHeight="1" x14ac:dyDescent="0.2">
      <c r="A10" s="211" t="s">
        <v>1</v>
      </c>
      <c r="B10" s="773" t="s">
        <v>72</v>
      </c>
      <c r="C10" s="774"/>
      <c r="D10" s="74">
        <f>SUM(D12:D15)</f>
        <v>2960044.41</v>
      </c>
      <c r="F10" s="75"/>
      <c r="G10" s="76" t="s">
        <v>73</v>
      </c>
      <c r="H10" s="77" t="s">
        <v>74</v>
      </c>
      <c r="I10" s="77" t="s">
        <v>75</v>
      </c>
      <c r="J10" s="212"/>
      <c r="K10" s="212"/>
      <c r="L10" s="212"/>
      <c r="M10" s="212"/>
      <c r="N10" s="212"/>
    </row>
    <row r="11" spans="1:14" ht="16.5" hidden="1" customHeight="1" x14ac:dyDescent="0.2">
      <c r="A11" s="213"/>
      <c r="B11" s="214" t="s">
        <v>76</v>
      </c>
      <c r="C11" s="215"/>
      <c r="D11" s="78"/>
      <c r="F11" s="210"/>
      <c r="G11" s="212"/>
      <c r="H11" s="212"/>
      <c r="I11" s="212"/>
      <c r="J11" s="212"/>
      <c r="K11" s="212"/>
      <c r="L11" s="212"/>
      <c r="M11" s="212"/>
      <c r="N11" s="212"/>
    </row>
    <row r="12" spans="1:14" ht="16.5" hidden="1" x14ac:dyDescent="0.2">
      <c r="A12" s="79" t="s">
        <v>77</v>
      </c>
      <c r="B12" s="80" t="str">
        <f>'[7]бюджет +внебюджет'!A107</f>
        <v>Замещающим уходящих в отпуск</v>
      </c>
      <c r="C12" s="80"/>
      <c r="D12" s="81">
        <f>'[7]бюджет +внебюджет'!L107</f>
        <v>2294570.56</v>
      </c>
      <c r="F12" s="210"/>
      <c r="G12" s="212"/>
      <c r="H12" s="212"/>
      <c r="I12" s="212"/>
      <c r="J12" s="212"/>
      <c r="K12" s="212"/>
      <c r="L12" s="212"/>
      <c r="M12" s="212"/>
      <c r="N12" s="212"/>
    </row>
    <row r="13" spans="1:14" ht="25.5" hidden="1" x14ac:dyDescent="0.2">
      <c r="A13" s="79" t="s">
        <v>78</v>
      </c>
      <c r="B13" s="82" t="str">
        <f>'[7]бюджет +внебюджет'!A108</f>
        <v>Замещающим на время специализации / командировки / на время свободного дня</v>
      </c>
      <c r="C13" s="80"/>
      <c r="D13" s="81">
        <f>'[7]бюджет +внебюджет'!L108</f>
        <v>523910.63</v>
      </c>
      <c r="F13" s="210"/>
      <c r="G13" s="212"/>
      <c r="H13" s="212"/>
      <c r="I13" s="212"/>
      <c r="J13" s="212"/>
      <c r="K13" s="212"/>
      <c r="L13" s="212"/>
      <c r="M13" s="212"/>
      <c r="N13" s="212"/>
    </row>
    <row r="14" spans="1:14" ht="16.5" hidden="1" x14ac:dyDescent="0.2">
      <c r="A14" s="83" t="s">
        <v>79</v>
      </c>
      <c r="B14" s="80" t="str">
        <f>'[7]бюджет +внебюджет'!A109</f>
        <v>Оплата по среднему на время командировки</v>
      </c>
      <c r="C14" s="80"/>
      <c r="D14" s="84">
        <f>'[7]бюджет +внебюджет'!L109</f>
        <v>85453.14</v>
      </c>
      <c r="F14" s="210"/>
      <c r="G14" s="212"/>
      <c r="H14" s="212"/>
      <c r="I14" s="212"/>
      <c r="J14" s="212"/>
      <c r="K14" s="212"/>
      <c r="L14" s="212"/>
      <c r="M14" s="212"/>
      <c r="N14" s="212"/>
    </row>
    <row r="15" spans="1:14" ht="16.5" hidden="1" x14ac:dyDescent="0.2">
      <c r="A15" s="83" t="s">
        <v>80</v>
      </c>
      <c r="B15" s="80" t="s">
        <v>81</v>
      </c>
      <c r="C15" s="85"/>
      <c r="D15" s="84">
        <f>'[7]бюджет +внебюджет'!L131</f>
        <v>56110.079999999994</v>
      </c>
      <c r="F15" s="210"/>
      <c r="G15" s="212"/>
      <c r="H15" s="212"/>
      <c r="I15" s="212"/>
      <c r="J15" s="212"/>
      <c r="K15" s="212"/>
      <c r="L15" s="212"/>
      <c r="M15" s="212"/>
      <c r="N15" s="212"/>
    </row>
    <row r="16" spans="1:14" ht="54.75" customHeight="1" x14ac:dyDescent="0.2">
      <c r="A16" s="216" t="s">
        <v>2</v>
      </c>
      <c r="B16" s="754" t="s">
        <v>82</v>
      </c>
      <c r="C16" s="755"/>
      <c r="D16" s="86">
        <f>SUM(D18:D43)</f>
        <v>21206220.879999995</v>
      </c>
      <c r="F16" s="87"/>
      <c r="G16" s="76" t="s">
        <v>83</v>
      </c>
      <c r="H16" s="76" t="s">
        <v>84</v>
      </c>
      <c r="I16" s="88" t="s">
        <v>85</v>
      </c>
      <c r="J16" s="88" t="s">
        <v>86</v>
      </c>
      <c r="K16" s="89" t="s">
        <v>87</v>
      </c>
      <c r="L16" s="88" t="s">
        <v>88</v>
      </c>
      <c r="M16" s="76" t="s">
        <v>89</v>
      </c>
      <c r="N16" s="76" t="s">
        <v>37</v>
      </c>
    </row>
    <row r="17" spans="1:14" hidden="1" x14ac:dyDescent="0.2">
      <c r="A17" s="213"/>
      <c r="B17" s="214" t="s">
        <v>76</v>
      </c>
      <c r="C17" s="215"/>
      <c r="D17" s="78"/>
      <c r="F17" s="90"/>
      <c r="G17" s="91"/>
      <c r="H17" s="91"/>
      <c r="I17" s="92"/>
      <c r="J17" s="92"/>
      <c r="K17" s="93"/>
      <c r="L17" s="92"/>
      <c r="M17" s="91"/>
      <c r="N17" s="91"/>
    </row>
    <row r="18" spans="1:14" ht="16.5" hidden="1" x14ac:dyDescent="0.2">
      <c r="A18" s="94" t="s">
        <v>90</v>
      </c>
      <c r="B18" s="95" t="str">
        <f>'[7]бюджет +внебюджет'!A85</f>
        <v>По тарификации</v>
      </c>
      <c r="C18" s="96"/>
      <c r="D18" s="97">
        <f>'[7]бюджет +внебюджет'!L85</f>
        <v>4524595.25</v>
      </c>
      <c r="F18" s="87"/>
      <c r="G18" s="95"/>
      <c r="H18" s="98"/>
      <c r="I18" s="99"/>
      <c r="J18" s="99"/>
      <c r="K18" s="100"/>
      <c r="L18" s="99"/>
      <c r="M18" s="98"/>
      <c r="N18" s="98"/>
    </row>
    <row r="19" spans="1:14" ht="16.5" hidden="1" x14ac:dyDescent="0.2">
      <c r="A19" s="94" t="s">
        <v>91</v>
      </c>
      <c r="B19" s="95" t="str">
        <f>'[7]бюджет +внебюджет'!A89</f>
        <v>за работу на условиях контракта</v>
      </c>
      <c r="C19" s="96"/>
      <c r="D19" s="97">
        <f>'[7]бюджет +внебюджет'!L89</f>
        <v>796921.89</v>
      </c>
      <c r="F19" s="87"/>
      <c r="G19" s="98"/>
      <c r="H19" s="98"/>
      <c r="I19" s="99"/>
      <c r="J19" s="99"/>
      <c r="K19" s="100"/>
      <c r="L19" s="99"/>
      <c r="M19" s="98"/>
      <c r="N19" s="98"/>
    </row>
    <row r="20" spans="1:14" ht="16.5" hidden="1" x14ac:dyDescent="0.2">
      <c r="A20" s="94" t="s">
        <v>92</v>
      </c>
      <c r="B20" s="95" t="str">
        <f>'[7]бюджет +внебюджет'!A90</f>
        <v>за стаж работы</v>
      </c>
      <c r="C20" s="96"/>
      <c r="D20" s="97">
        <f>'[7]бюджет +внебюджет'!L90</f>
        <v>757259.25</v>
      </c>
      <c r="F20" s="87"/>
      <c r="G20" s="98"/>
      <c r="H20" s="98"/>
      <c r="I20" s="99"/>
      <c r="J20" s="99"/>
      <c r="K20" s="100"/>
      <c r="L20" s="99"/>
      <c r="M20" s="98"/>
      <c r="N20" s="98"/>
    </row>
    <row r="21" spans="1:14" ht="16.5" hidden="1" x14ac:dyDescent="0.2">
      <c r="A21" s="94" t="s">
        <v>93</v>
      </c>
      <c r="B21" s="95" t="str">
        <f>'[7]бюджет +внебюджет'!A91</f>
        <v>за специфику работы (за категорию)</v>
      </c>
      <c r="C21" s="96"/>
      <c r="D21" s="97">
        <f>'[7]бюджет +внебюджет'!L91</f>
        <v>834896.76</v>
      </c>
      <c r="F21" s="87"/>
      <c r="G21" s="98"/>
      <c r="H21" s="98"/>
      <c r="I21" s="99"/>
      <c r="J21" s="99"/>
      <c r="K21" s="100"/>
      <c r="L21" s="99"/>
      <c r="M21" s="98"/>
      <c r="N21" s="98"/>
    </row>
    <row r="22" spans="1:14" ht="16.5" hidden="1" x14ac:dyDescent="0.2">
      <c r="A22" s="94" t="s">
        <v>94</v>
      </c>
      <c r="B22" s="95" t="str">
        <f>'[7]бюджет +внебюджет'!A92</f>
        <v>за сложность и напряженность работы</v>
      </c>
      <c r="C22" s="96"/>
      <c r="D22" s="97">
        <f>'[7]бюджет +внебюджет'!L92</f>
        <v>3746378.1</v>
      </c>
      <c r="F22" s="87"/>
      <c r="G22" s="98"/>
      <c r="H22" s="98"/>
      <c r="I22" s="99"/>
      <c r="J22" s="99"/>
      <c r="K22" s="100"/>
      <c r="L22" s="99"/>
      <c r="M22" s="98"/>
      <c r="N22" s="98"/>
    </row>
    <row r="23" spans="1:14" ht="16.5" hidden="1" x14ac:dyDescent="0.2">
      <c r="A23" s="94" t="s">
        <v>95</v>
      </c>
      <c r="B23" s="95" t="str">
        <f>'[7]бюджет +внебюджет'!A93</f>
        <v>за высокие достижения в труде</v>
      </c>
      <c r="C23" s="96"/>
      <c r="D23" s="97">
        <f>'[7]бюджет +внебюджет'!L93</f>
        <v>0</v>
      </c>
      <c r="F23" s="87"/>
      <c r="G23" s="98"/>
      <c r="H23" s="98"/>
      <c r="I23" s="99"/>
      <c r="J23" s="99"/>
      <c r="K23" s="100"/>
      <c r="L23" s="99"/>
      <c r="M23" s="98"/>
      <c r="N23" s="98"/>
    </row>
    <row r="24" spans="1:14" ht="25.5" hidden="1" x14ac:dyDescent="0.2">
      <c r="A24" s="94" t="s">
        <v>96</v>
      </c>
      <c r="B24" s="95" t="str">
        <f>'[7]бюджет +внебюджет'!A94</f>
        <v>за обеспечение показателей деятельности учреждения</v>
      </c>
      <c r="C24" s="96"/>
      <c r="D24" s="97">
        <f>'[7]бюджет +внебюджет'!L94</f>
        <v>4.07</v>
      </c>
      <c r="F24" s="87"/>
      <c r="G24" s="98"/>
      <c r="H24" s="98"/>
      <c r="I24" s="99"/>
      <c r="J24" s="99"/>
      <c r="K24" s="100"/>
      <c r="L24" s="99"/>
      <c r="M24" s="98"/>
      <c r="N24" s="98"/>
    </row>
    <row r="25" spans="1:14" ht="25.5" hidden="1" x14ac:dyDescent="0.2">
      <c r="A25" s="94"/>
      <c r="B25" s="101" t="str">
        <f>'[7]бюджет +внебюджет'!A95</f>
        <v>медицинским работникам за работу в университетской клинике</v>
      </c>
      <c r="C25" s="102"/>
      <c r="D25" s="103">
        <v>0</v>
      </c>
      <c r="F25" s="87"/>
      <c r="G25" s="98"/>
      <c r="H25" s="98"/>
      <c r="I25" s="99"/>
      <c r="J25" s="99"/>
      <c r="K25" s="100"/>
      <c r="L25" s="99"/>
      <c r="M25" s="98"/>
      <c r="N25" s="98"/>
    </row>
    <row r="26" spans="1:14" ht="16.5" hidden="1" x14ac:dyDescent="0.2">
      <c r="A26" s="94"/>
      <c r="B26" s="101" t="s">
        <v>156</v>
      </c>
      <c r="C26" s="102"/>
      <c r="D26" s="103">
        <v>0</v>
      </c>
      <c r="F26" s="87"/>
      <c r="G26" s="98"/>
      <c r="H26" s="98"/>
      <c r="I26" s="99"/>
      <c r="J26" s="99"/>
      <c r="K26" s="100"/>
      <c r="L26" s="99"/>
      <c r="M26" s="98"/>
      <c r="N26" s="98"/>
    </row>
    <row r="27" spans="1:14" ht="38.25" hidden="1" x14ac:dyDescent="0.2">
      <c r="A27" s="94">
        <v>2.8</v>
      </c>
      <c r="B27" s="95" t="str">
        <f>'[7]бюджет +внебюджет'!A96</f>
        <v>за применение (участие в применении) новых, сложных и уникальных методов оказания медпомощи</v>
      </c>
      <c r="C27" s="96"/>
      <c r="D27" s="97">
        <f>'[7]бюджет +внебюджет'!L96</f>
        <v>1264772.52</v>
      </c>
      <c r="F27" s="87"/>
      <c r="G27" s="98"/>
      <c r="H27" s="98"/>
      <c r="I27" s="99"/>
      <c r="J27" s="99"/>
      <c r="K27" s="100"/>
      <c r="L27" s="99"/>
      <c r="M27" s="98"/>
      <c r="N27" s="98"/>
    </row>
    <row r="28" spans="1:14" ht="38.25" hidden="1" x14ac:dyDescent="0.2">
      <c r="A28" s="94" t="s">
        <v>97</v>
      </c>
      <c r="B28" s="95" t="str">
        <f>'[7]бюджет +внебюджет'!A97</f>
        <v>за специфику работы (врачам-специалистам и среднему медперсоналу, оказывающим медпомощь в амбулаторных условиях)</v>
      </c>
      <c r="C28" s="96"/>
      <c r="D28" s="97">
        <f>'[7]бюджет +внебюджет'!L97</f>
        <v>359220.22</v>
      </c>
      <c r="F28" s="87"/>
      <c r="G28" s="98"/>
      <c r="H28" s="98"/>
      <c r="I28" s="99"/>
      <c r="J28" s="99"/>
      <c r="K28" s="100"/>
      <c r="L28" s="99"/>
      <c r="M28" s="98"/>
      <c r="N28" s="98"/>
    </row>
    <row r="29" spans="1:14" ht="25.5" hidden="1" x14ac:dyDescent="0.2">
      <c r="A29" s="94" t="s">
        <v>98</v>
      </c>
      <c r="B29" s="95" t="str">
        <f>'[7]бюджет +внебюджет'!A98</f>
        <v>за специфику работы (врачам-специалистам хирургического профиля)</v>
      </c>
      <c r="C29" s="96"/>
      <c r="D29" s="97">
        <f>'[7]бюджет +внебюджет'!L98</f>
        <v>331780.12</v>
      </c>
      <c r="F29" s="87"/>
      <c r="G29" s="98"/>
      <c r="H29" s="98"/>
      <c r="I29" s="99"/>
      <c r="J29" s="99"/>
      <c r="K29" s="100"/>
      <c r="L29" s="99"/>
      <c r="M29" s="98"/>
      <c r="N29" s="98"/>
    </row>
    <row r="30" spans="1:14" ht="25.5" hidden="1" x14ac:dyDescent="0.2">
      <c r="A30" s="94" t="s">
        <v>99</v>
      </c>
      <c r="B30" s="95" t="str">
        <f>'[7]бюджет +внебюджет'!A99</f>
        <v>за специфику работы (врачам-интернам, провизорам-интернам)</v>
      </c>
      <c r="C30" s="96"/>
      <c r="D30" s="97">
        <f>'[7]бюджет +внебюджет'!L99</f>
        <v>38391.120000000003</v>
      </c>
      <c r="F30" s="87"/>
      <c r="G30" s="98"/>
      <c r="H30" s="98"/>
      <c r="I30" s="99"/>
      <c r="J30" s="99"/>
      <c r="K30" s="100"/>
      <c r="L30" s="99"/>
      <c r="M30" s="98"/>
      <c r="N30" s="98"/>
    </row>
    <row r="31" spans="1:14" ht="25.5" hidden="1" x14ac:dyDescent="0.2">
      <c r="A31" s="94" t="s">
        <v>100</v>
      </c>
      <c r="B31" s="95" t="str">
        <f>'[7]бюджет +внебюджет'!A101</f>
        <v xml:space="preserve">за особенности профессиональной деятельности </v>
      </c>
      <c r="C31" s="96"/>
      <c r="D31" s="97">
        <f>'[7]бюджет +внебюджет'!L101</f>
        <v>422684.6</v>
      </c>
      <c r="F31" s="87"/>
      <c r="G31" s="98"/>
      <c r="H31" s="98"/>
      <c r="I31" s="99"/>
      <c r="J31" s="99"/>
      <c r="K31" s="100"/>
      <c r="L31" s="99"/>
      <c r="M31" s="98"/>
      <c r="N31" s="98"/>
    </row>
    <row r="32" spans="1:14" ht="16.5" hidden="1" x14ac:dyDescent="0.2">
      <c r="A32" s="94"/>
      <c r="B32" s="101" t="s">
        <v>157</v>
      </c>
      <c r="C32" s="96"/>
      <c r="D32" s="103">
        <v>0</v>
      </c>
      <c r="F32" s="87"/>
      <c r="G32" s="98"/>
      <c r="H32" s="98"/>
      <c r="I32" s="99"/>
      <c r="J32" s="99"/>
      <c r="K32" s="100"/>
      <c r="L32" s="99"/>
      <c r="M32" s="98"/>
      <c r="N32" s="98"/>
    </row>
    <row r="33" spans="1:15" ht="19.5" hidden="1" customHeight="1" x14ac:dyDescent="0.2">
      <c r="A33" s="94" t="s">
        <v>101</v>
      </c>
      <c r="B33" s="95" t="str">
        <f>'[7]бюджет +внебюджет'!A103</f>
        <v>за ученые звания и степени</v>
      </c>
      <c r="C33" s="96"/>
      <c r="D33" s="97">
        <f>'[7]бюджет +внебюджет'!L103</f>
        <v>6485.4</v>
      </c>
      <c r="F33" s="87"/>
      <c r="G33" s="98"/>
      <c r="H33" s="98"/>
      <c r="I33" s="99"/>
      <c r="J33" s="99"/>
      <c r="K33" s="100"/>
      <c r="L33" s="99"/>
      <c r="M33" s="98"/>
      <c r="N33" s="98"/>
    </row>
    <row r="34" spans="1:15" ht="25.5" hidden="1" x14ac:dyDescent="0.2">
      <c r="A34" s="94">
        <v>2.14</v>
      </c>
      <c r="B34" s="95" t="s">
        <v>158</v>
      </c>
      <c r="C34" s="96"/>
      <c r="D34" s="97">
        <f>'[7]бюджет +внебюджет'!L104</f>
        <v>4867360.0999999996</v>
      </c>
      <c r="F34" s="87"/>
      <c r="G34" s="98"/>
      <c r="H34" s="98"/>
      <c r="I34" s="99"/>
      <c r="J34" s="99"/>
      <c r="K34" s="100"/>
      <c r="L34" s="99"/>
      <c r="M34" s="98"/>
      <c r="N34" s="98"/>
    </row>
    <row r="35" spans="1:15" ht="16.5" hidden="1" x14ac:dyDescent="0.2">
      <c r="A35" s="104"/>
      <c r="B35" s="101" t="str">
        <f>'[7]бюджет +внебюджет'!A110</f>
        <v>За работу в праздничные дни</v>
      </c>
      <c r="C35" s="102"/>
      <c r="D35" s="103"/>
      <c r="F35" s="87"/>
      <c r="G35" s="98"/>
      <c r="H35" s="98"/>
      <c r="I35" s="99"/>
      <c r="J35" s="99"/>
      <c r="K35" s="100"/>
      <c r="L35" s="99"/>
      <c r="M35" s="98"/>
      <c r="N35" s="98"/>
    </row>
    <row r="36" spans="1:15" ht="16.5" hidden="1" x14ac:dyDescent="0.2">
      <c r="A36" s="104"/>
      <c r="B36" s="101" t="str">
        <f>'[7]бюджет +внебюджет'!A111</f>
        <v>За работу в ночное время</v>
      </c>
      <c r="C36" s="102"/>
      <c r="D36" s="103"/>
      <c r="F36" s="87"/>
      <c r="G36" s="98"/>
      <c r="H36" s="98"/>
      <c r="I36" s="99"/>
      <c r="J36" s="99"/>
      <c r="K36" s="100"/>
      <c r="L36" s="99"/>
      <c r="M36" s="98"/>
      <c r="N36" s="98"/>
    </row>
    <row r="37" spans="1:15" ht="38.25" hidden="1" x14ac:dyDescent="0.2">
      <c r="A37" s="94"/>
      <c r="B37" s="101" t="str">
        <f>'[7]бюджет +внебюджет'!A112</f>
        <v>За реализацию организационно-распорядительной функции врачам-специалистам, "старшим" медработникам</v>
      </c>
      <c r="C37" s="102"/>
      <c r="D37" s="103">
        <v>0</v>
      </c>
      <c r="F37" s="87"/>
      <c r="G37" s="98"/>
      <c r="H37" s="98"/>
      <c r="I37" s="99"/>
      <c r="J37" s="99"/>
      <c r="K37" s="100"/>
      <c r="L37" s="99"/>
      <c r="M37" s="98"/>
      <c r="N37" s="98"/>
    </row>
    <row r="38" spans="1:15" ht="16.5" hidden="1" x14ac:dyDescent="0.2">
      <c r="A38" s="94">
        <v>2.15</v>
      </c>
      <c r="B38" s="95" t="str">
        <f>'[7]бюджет +внебюджет'!A113</f>
        <v>За особый характер труда</v>
      </c>
      <c r="C38" s="96"/>
      <c r="D38" s="97">
        <f>'[7]бюджет +внебюджет'!L113</f>
        <v>681822.94000000006</v>
      </c>
      <c r="F38" s="87"/>
      <c r="G38" s="98"/>
      <c r="H38" s="98"/>
      <c r="I38" s="99"/>
      <c r="J38" s="99"/>
      <c r="K38" s="100"/>
      <c r="L38" s="99"/>
      <c r="M38" s="98"/>
      <c r="N38" s="98"/>
    </row>
    <row r="39" spans="1:15" ht="25.5" hidden="1" x14ac:dyDescent="0.2">
      <c r="A39" s="94"/>
      <c r="B39" s="101" t="str">
        <f>'[7]бюджет +внебюджет'!A114</f>
        <v>За работу  во вредных условиях труда по результатам аттестации рабочих мест</v>
      </c>
      <c r="C39" s="102"/>
      <c r="D39" s="103">
        <v>0</v>
      </c>
      <c r="F39" s="87"/>
      <c r="G39" s="98"/>
      <c r="H39" s="98"/>
      <c r="I39" s="99"/>
      <c r="J39" s="99"/>
      <c r="K39" s="100"/>
      <c r="L39" s="99"/>
      <c r="M39" s="98"/>
      <c r="N39" s="98"/>
    </row>
    <row r="40" spans="1:15" ht="16.5" hidden="1" x14ac:dyDescent="0.2">
      <c r="A40" s="94">
        <v>2.16</v>
      </c>
      <c r="B40" s="95" t="s">
        <v>102</v>
      </c>
      <c r="C40" s="102"/>
      <c r="D40" s="97">
        <f>'[7]бюджет +внебюджет'!L121</f>
        <v>-620.30000000000007</v>
      </c>
      <c r="F40" s="87"/>
      <c r="G40" s="98"/>
      <c r="H40" s="98"/>
      <c r="I40" s="99"/>
      <c r="J40" s="99"/>
      <c r="K40" s="100"/>
      <c r="L40" s="99"/>
      <c r="M40" s="98"/>
      <c r="N40" s="98"/>
    </row>
    <row r="41" spans="1:15" ht="16.5" hidden="1" x14ac:dyDescent="0.2">
      <c r="A41" s="94">
        <v>2.17</v>
      </c>
      <c r="B41" s="95" t="str">
        <f>'[7]бюджет +внебюджет'!A128</f>
        <v>Премирование</v>
      </c>
      <c r="C41" s="96"/>
      <c r="D41" s="97">
        <f>'[7]бюджет +внебюджет'!L128</f>
        <v>2084383.8099999998</v>
      </c>
      <c r="F41" s="87"/>
      <c r="G41" s="98"/>
      <c r="H41" s="98"/>
      <c r="I41" s="99"/>
      <c r="J41" s="99"/>
      <c r="K41" s="100"/>
      <c r="L41" s="99"/>
      <c r="M41" s="98"/>
      <c r="N41" s="98"/>
    </row>
    <row r="42" spans="1:15" ht="16.5" hidden="1" x14ac:dyDescent="0.2">
      <c r="A42" s="94">
        <v>2.1800000000000002</v>
      </c>
      <c r="B42" s="95" t="str">
        <f>'[7]бюджет +внебюджет'!A129</f>
        <v>Единовременная выплата на оздоровление</v>
      </c>
      <c r="C42" s="96"/>
      <c r="D42" s="97">
        <f>'[7]бюджет +внебюджет'!L129</f>
        <v>364749.22000000003</v>
      </c>
      <c r="F42" s="87"/>
      <c r="G42" s="98"/>
      <c r="H42" s="98"/>
      <c r="I42" s="99"/>
      <c r="J42" s="99"/>
      <c r="K42" s="100"/>
      <c r="L42" s="99"/>
      <c r="M42" s="98"/>
      <c r="N42" s="98"/>
    </row>
    <row r="43" spans="1:15" ht="16.5" hidden="1" x14ac:dyDescent="0.2">
      <c r="A43" s="94">
        <v>2.19</v>
      </c>
      <c r="B43" s="95" t="str">
        <f>'[7]бюджет +внебюджет'!A130</f>
        <v>Материальная помощь</v>
      </c>
      <c r="C43" s="96"/>
      <c r="D43" s="97">
        <f>'[7]бюджет +внебюджет'!L130</f>
        <v>125135.81</v>
      </c>
      <c r="F43" s="87"/>
      <c r="G43" s="98"/>
      <c r="H43" s="98"/>
      <c r="I43" s="99"/>
      <c r="J43" s="99"/>
      <c r="K43" s="100"/>
      <c r="L43" s="99"/>
      <c r="M43" s="98"/>
      <c r="N43" s="98"/>
    </row>
    <row r="44" spans="1:15" ht="16.5" hidden="1" x14ac:dyDescent="0.2">
      <c r="A44" s="94"/>
      <c r="B44" s="95" t="s">
        <v>103</v>
      </c>
      <c r="C44" s="96"/>
      <c r="D44" s="103">
        <v>0</v>
      </c>
      <c r="F44" s="87"/>
      <c r="G44" s="98"/>
      <c r="H44" s="98"/>
      <c r="I44" s="99"/>
      <c r="J44" s="99"/>
      <c r="K44" s="100"/>
      <c r="L44" s="99"/>
      <c r="M44" s="98"/>
      <c r="N44" s="98"/>
    </row>
    <row r="45" spans="1:15" ht="41.25" customHeight="1" x14ac:dyDescent="0.2">
      <c r="A45" s="217" t="s">
        <v>3</v>
      </c>
      <c r="B45" s="768" t="s">
        <v>104</v>
      </c>
      <c r="C45" s="769"/>
      <c r="D45" s="105">
        <f>D10/D16</f>
        <v>0.13958377717321979</v>
      </c>
      <c r="G45" s="105">
        <v>0.16300000000000001</v>
      </c>
      <c r="H45" s="105">
        <v>0.17100000000000001</v>
      </c>
    </row>
    <row r="46" spans="1:15" s="177" customFormat="1" ht="30" customHeight="1" x14ac:dyDescent="0.3">
      <c r="A46" s="176"/>
      <c r="B46" s="176"/>
      <c r="C46" s="176"/>
      <c r="D46" s="218"/>
      <c r="F46" s="186"/>
      <c r="G46" s="186"/>
      <c r="H46" s="186"/>
      <c r="I46" s="186"/>
    </row>
    <row r="47" spans="1:15" s="175" customFormat="1" ht="18.75" x14ac:dyDescent="0.3">
      <c r="A47" s="195" t="s">
        <v>39</v>
      </c>
      <c r="B47" s="195"/>
      <c r="C47" s="219" t="s">
        <v>32</v>
      </c>
      <c r="D47" s="195"/>
      <c r="E47" s="195"/>
      <c r="F47" s="186"/>
      <c r="G47" s="186"/>
      <c r="H47" s="186"/>
      <c r="I47" s="186"/>
      <c r="K47" s="106"/>
      <c r="L47" s="106"/>
      <c r="M47" s="106"/>
      <c r="N47" s="106"/>
      <c r="O47" s="106"/>
    </row>
    <row r="48" spans="1:15" s="175" customFormat="1" ht="23.25" customHeight="1" x14ac:dyDescent="0.3">
      <c r="A48" s="195"/>
      <c r="B48" s="195"/>
      <c r="C48" s="219"/>
      <c r="D48" s="195"/>
      <c r="F48" s="186"/>
      <c r="G48" s="186"/>
      <c r="H48" s="186"/>
      <c r="I48" s="186"/>
    </row>
    <row r="49" spans="1:15" s="195" customFormat="1" ht="17.25" customHeight="1" x14ac:dyDescent="0.3">
      <c r="A49" s="770" t="s">
        <v>22</v>
      </c>
      <c r="B49" s="770"/>
      <c r="C49" s="220" t="s">
        <v>33</v>
      </c>
      <c r="F49" s="197"/>
      <c r="G49" s="197"/>
      <c r="J49" s="107"/>
      <c r="K49" s="108"/>
      <c r="L49" s="198"/>
    </row>
    <row r="50" spans="1:15" s="175" customFormat="1" ht="23.25" customHeight="1" x14ac:dyDescent="0.3">
      <c r="A50" s="195"/>
      <c r="C50" s="219"/>
    </row>
    <row r="51" spans="1:15" s="222" customFormat="1" ht="18.75" x14ac:dyDescent="0.2">
      <c r="A51" s="765" t="s">
        <v>25</v>
      </c>
      <c r="B51" s="765"/>
      <c r="C51" s="221" t="s">
        <v>34</v>
      </c>
      <c r="F51" s="199"/>
      <c r="G51" s="199"/>
      <c r="H51" s="199"/>
      <c r="I51" s="199"/>
      <c r="K51" s="109"/>
      <c r="L51" s="109"/>
      <c r="M51" s="109"/>
      <c r="N51" s="109"/>
      <c r="O51" s="109"/>
    </row>
    <row r="54" spans="1:15" x14ac:dyDescent="0.2">
      <c r="J54" s="223"/>
    </row>
    <row r="60" spans="1:15" x14ac:dyDescent="0.2">
      <c r="D60" s="207"/>
    </row>
    <row r="61" spans="1:15" x14ac:dyDescent="0.2">
      <c r="D61" s="207"/>
    </row>
    <row r="62" spans="1:15" hidden="1" x14ac:dyDescent="0.2"/>
    <row r="63" spans="1:15" hidden="1" x14ac:dyDescent="0.2">
      <c r="D63" s="207"/>
    </row>
    <row r="64" spans="1:15" ht="56.25" hidden="1" customHeight="1" x14ac:dyDescent="0.2">
      <c r="B64" s="775" t="s">
        <v>105</v>
      </c>
      <c r="C64" s="776"/>
      <c r="D64" s="777"/>
    </row>
    <row r="65" spans="2:4" hidden="1" x14ac:dyDescent="0.2">
      <c r="B65" s="110" t="s">
        <v>103</v>
      </c>
      <c r="C65" s="224"/>
      <c r="D65" s="771">
        <f>'[7]бюджет +внебюджет'!L86+'[7]бюджет +внебюджет'!L102+'[7]бюджет +внебюджет'!L117+'[7]бюджет +внебюджет'!L118+'[7]бюджет +внебюджет'!L119+'[7]бюджет +внебюджет'!L120+'[7]бюджет +внебюджет'!L122+'[7]бюджет +внебюджет'!L123+'[7]бюджет +внебюджет'!L124+'[7]бюджет +внебюджет'!L131+'[7]бюджет +внебюджет'!L133+'[7]бюджет +внебюджет'!L110+'[7]бюджет +внебюджет'!L111</f>
        <v>1922072.47</v>
      </c>
    </row>
    <row r="66" spans="2:4" hidden="1" x14ac:dyDescent="0.2">
      <c r="B66" s="110" t="str">
        <f>'[7]бюджет +внебюджет'!A102</f>
        <v>молодым специалистам</v>
      </c>
      <c r="C66" s="224"/>
      <c r="D66" s="771"/>
    </row>
    <row r="67" spans="2:4" ht="25.5" hidden="1" x14ac:dyDescent="0.2">
      <c r="B67" s="110" t="str">
        <f>'[7]бюджет +внебюджет'!A117</f>
        <v>За совмещение должностей (профессий), за расширенную зону обслуживания</v>
      </c>
      <c r="C67" s="224"/>
      <c r="D67" s="771"/>
    </row>
    <row r="68" spans="2:4" hidden="1" x14ac:dyDescent="0.2">
      <c r="B68" s="110" t="str">
        <f>'[7]бюджет +внебюджет'!A118</f>
        <v>Оплата за вызова при дежурстве на дому</v>
      </c>
      <c r="C68" s="224"/>
      <c r="D68" s="771"/>
    </row>
    <row r="69" spans="2:4" hidden="1" x14ac:dyDescent="0.2">
      <c r="B69" s="110" t="str">
        <f>'[7]бюджет +внебюджет'!A119</f>
        <v>За сверхурочную работу</v>
      </c>
      <c r="C69" s="224"/>
      <c r="D69" s="771"/>
    </row>
    <row r="70" spans="2:4" hidden="1" x14ac:dyDescent="0.2">
      <c r="B70" s="110" t="str">
        <f>'[7]бюджет +внебюджет'!A120</f>
        <v>Доплаты до средней зарплаты</v>
      </c>
      <c r="C70" s="224"/>
      <c r="D70" s="771"/>
    </row>
    <row r="71" spans="2:4" hidden="1" x14ac:dyDescent="0.2">
      <c r="B71" s="110" t="str">
        <f>'[7]бюджет +внебюджет'!A122</f>
        <v>Доплаты до минимальной заработной платы</v>
      </c>
      <c r="C71" s="224"/>
      <c r="D71" s="771"/>
    </row>
    <row r="72" spans="2:4" hidden="1" x14ac:dyDescent="0.2">
      <c r="B72" s="110" t="str">
        <f>'[7]бюджет +внебюджет'!A123</f>
        <v>Доплаты взамен ППС</v>
      </c>
      <c r="C72" s="224"/>
      <c r="D72" s="771"/>
    </row>
    <row r="73" spans="2:4" hidden="1" x14ac:dyDescent="0.2">
      <c r="B73" s="110" t="str">
        <f>'[7]бюджет +внебюджет'!A124</f>
        <v>Прочие доплаты</v>
      </c>
      <c r="C73" s="224"/>
      <c r="D73" s="771"/>
    </row>
    <row r="74" spans="2:4" hidden="1" x14ac:dyDescent="0.2">
      <c r="B74" s="110"/>
      <c r="C74" s="224"/>
      <c r="D74" s="771"/>
    </row>
    <row r="75" spans="2:4" hidden="1" x14ac:dyDescent="0.2">
      <c r="B75" s="111"/>
      <c r="C75" s="225"/>
      <c r="D75" s="772"/>
    </row>
    <row r="76" spans="2:4" hidden="1" x14ac:dyDescent="0.2"/>
    <row r="77" spans="2:4" hidden="1" x14ac:dyDescent="0.2"/>
    <row r="78" spans="2:4" hidden="1" x14ac:dyDescent="0.2"/>
    <row r="79" spans="2:4" hidden="1" x14ac:dyDescent="0.2"/>
  </sheetData>
  <mergeCells count="12">
    <mergeCell ref="D65:D75"/>
    <mergeCell ref="C1:D1"/>
    <mergeCell ref="C2:D2"/>
    <mergeCell ref="C3:D3"/>
    <mergeCell ref="A7:D7"/>
    <mergeCell ref="B9:C9"/>
    <mergeCell ref="B10:C10"/>
    <mergeCell ref="B16:C16"/>
    <mergeCell ref="B45:C45"/>
    <mergeCell ref="A49:B49"/>
    <mergeCell ref="A51:B51"/>
    <mergeCell ref="B64:D64"/>
  </mergeCells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R15"/>
  <sheetViews>
    <sheetView workbookViewId="0">
      <selection activeCell="H18" sqref="H18"/>
    </sheetView>
  </sheetViews>
  <sheetFormatPr defaultRowHeight="12.75" x14ac:dyDescent="0.2"/>
  <sheetData>
    <row r="7" spans="1:18" ht="115.5" x14ac:dyDescent="0.2">
      <c r="A7" s="238" t="s">
        <v>171</v>
      </c>
      <c r="B7" s="778" t="s">
        <v>173</v>
      </c>
      <c r="C7" s="778" t="s">
        <v>174</v>
      </c>
      <c r="D7" s="778" t="s">
        <v>175</v>
      </c>
      <c r="E7" s="778" t="s">
        <v>176</v>
      </c>
      <c r="F7" s="238" t="s">
        <v>177</v>
      </c>
      <c r="G7" s="778" t="s">
        <v>180</v>
      </c>
      <c r="H7" s="778" t="s">
        <v>181</v>
      </c>
      <c r="I7" s="778" t="s">
        <v>182</v>
      </c>
      <c r="J7" s="238" t="s">
        <v>183</v>
      </c>
      <c r="K7" s="238" t="s">
        <v>185</v>
      </c>
      <c r="L7" s="238" t="s">
        <v>187</v>
      </c>
      <c r="M7" s="778" t="s">
        <v>190</v>
      </c>
      <c r="N7" s="238" t="s">
        <v>191</v>
      </c>
      <c r="O7" s="238" t="s">
        <v>198</v>
      </c>
      <c r="P7" s="778" t="s">
        <v>200</v>
      </c>
      <c r="Q7" s="778" t="s">
        <v>201</v>
      </c>
      <c r="R7" s="236" t="s">
        <v>202</v>
      </c>
    </row>
    <row r="8" spans="1:18" ht="42" x14ac:dyDescent="0.2">
      <c r="A8" s="238" t="s">
        <v>172</v>
      </c>
      <c r="B8" s="778"/>
      <c r="C8" s="778"/>
      <c r="D8" s="778"/>
      <c r="E8" s="778"/>
      <c r="F8" s="238" t="s">
        <v>178</v>
      </c>
      <c r="G8" s="778"/>
      <c r="H8" s="778"/>
      <c r="I8" s="778"/>
      <c r="J8" s="238" t="s">
        <v>184</v>
      </c>
      <c r="K8" s="238" t="s">
        <v>186</v>
      </c>
      <c r="L8" s="238" t="s">
        <v>188</v>
      </c>
      <c r="M8" s="778"/>
      <c r="N8" s="238" t="s">
        <v>192</v>
      </c>
      <c r="O8" s="238" t="s">
        <v>199</v>
      </c>
      <c r="P8" s="778"/>
      <c r="Q8" s="778"/>
      <c r="R8" s="236" t="s">
        <v>203</v>
      </c>
    </row>
    <row r="9" spans="1:18" ht="21" x14ac:dyDescent="0.2">
      <c r="A9" s="239"/>
      <c r="B9" s="778"/>
      <c r="C9" s="778"/>
      <c r="D9" s="778"/>
      <c r="E9" s="778"/>
      <c r="F9" s="238" t="s">
        <v>179</v>
      </c>
      <c r="G9" s="778"/>
      <c r="H9" s="778"/>
      <c r="I9" s="778"/>
      <c r="J9" s="239"/>
      <c r="K9" s="239"/>
      <c r="L9" s="238" t="s">
        <v>189</v>
      </c>
      <c r="M9" s="778"/>
      <c r="N9" s="238" t="s">
        <v>193</v>
      </c>
      <c r="O9" s="239"/>
      <c r="P9" s="778"/>
      <c r="Q9" s="778"/>
      <c r="R9" s="237"/>
    </row>
    <row r="10" spans="1:18" x14ac:dyDescent="0.2">
      <c r="A10" s="239"/>
      <c r="B10" s="778"/>
      <c r="C10" s="778"/>
      <c r="D10" s="778"/>
      <c r="E10" s="778"/>
      <c r="F10" s="239"/>
      <c r="G10" s="778"/>
      <c r="H10" s="778"/>
      <c r="I10" s="778"/>
      <c r="J10" s="239"/>
      <c r="K10" s="239"/>
      <c r="L10" s="239"/>
      <c r="M10" s="778"/>
      <c r="N10" s="238" t="s">
        <v>194</v>
      </c>
      <c r="O10" s="239"/>
      <c r="P10" s="778"/>
      <c r="Q10" s="778"/>
      <c r="R10" s="237"/>
    </row>
    <row r="11" spans="1:18" x14ac:dyDescent="0.2">
      <c r="A11" s="239"/>
      <c r="B11" s="778"/>
      <c r="C11" s="778"/>
      <c r="D11" s="778"/>
      <c r="E11" s="778"/>
      <c r="F11" s="239"/>
      <c r="G11" s="778"/>
      <c r="H11" s="778"/>
      <c r="I11" s="778"/>
      <c r="J11" s="239"/>
      <c r="K11" s="239"/>
      <c r="L11" s="239"/>
      <c r="M11" s="778"/>
      <c r="N11" s="238" t="s">
        <v>195</v>
      </c>
      <c r="O11" s="239"/>
      <c r="P11" s="778"/>
      <c r="Q11" s="778"/>
      <c r="R11" s="237"/>
    </row>
    <row r="12" spans="1:18" x14ac:dyDescent="0.2">
      <c r="A12" s="239"/>
      <c r="B12" s="778"/>
      <c r="C12" s="778"/>
      <c r="D12" s="778"/>
      <c r="E12" s="778"/>
      <c r="F12" s="239"/>
      <c r="G12" s="778"/>
      <c r="H12" s="778"/>
      <c r="I12" s="778"/>
      <c r="J12" s="239"/>
      <c r="K12" s="239"/>
      <c r="L12" s="239"/>
      <c r="M12" s="778"/>
      <c r="N12" s="238" t="s">
        <v>196</v>
      </c>
      <c r="O12" s="239"/>
      <c r="P12" s="778"/>
      <c r="Q12" s="778"/>
      <c r="R12" s="237"/>
    </row>
    <row r="13" spans="1:18" ht="13.5" thickBot="1" x14ac:dyDescent="0.25">
      <c r="A13" s="240"/>
      <c r="B13" s="779"/>
      <c r="C13" s="779"/>
      <c r="D13" s="779"/>
      <c r="E13" s="779"/>
      <c r="F13" s="240"/>
      <c r="G13" s="779"/>
      <c r="H13" s="779"/>
      <c r="I13" s="779"/>
      <c r="J13" s="240"/>
      <c r="K13" s="240"/>
      <c r="L13" s="240"/>
      <c r="M13" s="779"/>
      <c r="N13" s="241" t="s">
        <v>197</v>
      </c>
      <c r="O13" s="240"/>
      <c r="P13" s="779"/>
      <c r="Q13" s="779"/>
      <c r="R13" s="242"/>
    </row>
    <row r="14" spans="1:18" ht="13.5" thickBot="1" x14ac:dyDescent="0.25">
      <c r="A14" s="241">
        <v>1</v>
      </c>
      <c r="B14" s="241">
        <v>2</v>
      </c>
      <c r="C14" s="241">
        <v>3</v>
      </c>
      <c r="D14" s="241">
        <v>4</v>
      </c>
      <c r="E14" s="241">
        <v>5</v>
      </c>
      <c r="F14" s="241">
        <v>6</v>
      </c>
      <c r="G14" s="241">
        <v>7</v>
      </c>
      <c r="H14" s="241">
        <v>8</v>
      </c>
      <c r="I14" s="241">
        <v>9</v>
      </c>
      <c r="J14" s="241">
        <v>10</v>
      </c>
      <c r="K14" s="241">
        <v>11</v>
      </c>
      <c r="L14" s="241">
        <v>12</v>
      </c>
      <c r="M14" s="241">
        <v>13</v>
      </c>
      <c r="N14" s="241">
        <v>14</v>
      </c>
      <c r="O14" s="241">
        <v>15</v>
      </c>
      <c r="P14" s="241">
        <v>16</v>
      </c>
      <c r="Q14" s="241">
        <v>17</v>
      </c>
      <c r="R14" s="243">
        <v>18</v>
      </c>
    </row>
    <row r="15" spans="1:18" x14ac:dyDescent="0.2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5"/>
    </row>
  </sheetData>
  <mergeCells count="10">
    <mergeCell ref="I7:I13"/>
    <mergeCell ref="M7:M13"/>
    <mergeCell ref="P7:P13"/>
    <mergeCell ref="Q7:Q13"/>
    <mergeCell ref="B7:B13"/>
    <mergeCell ref="C7:C13"/>
    <mergeCell ref="D7:D13"/>
    <mergeCell ref="E7:E13"/>
    <mergeCell ref="G7:G13"/>
    <mergeCell ref="H7:H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82"/>
  <sheetViews>
    <sheetView tabSelected="1" topLeftCell="A56" zoomScaleNormal="100" workbookViewId="0">
      <selection activeCell="G64" sqref="G64"/>
    </sheetView>
  </sheetViews>
  <sheetFormatPr defaultRowHeight="12.75" x14ac:dyDescent="0.2"/>
  <cols>
    <col min="1" max="1" width="6.42578125" style="227" customWidth="1"/>
    <col min="2" max="2" width="49.42578125" style="167" customWidth="1"/>
    <col min="3" max="3" width="17.5703125" style="167" hidden="1" customWidth="1"/>
    <col min="4" max="4" width="19" style="565" customWidth="1"/>
    <col min="5" max="5" width="15.42578125" style="167" customWidth="1"/>
    <col min="6" max="6" width="16" style="167" customWidth="1"/>
    <col min="7" max="7" width="15.85546875" style="167" customWidth="1"/>
    <col min="8" max="8" width="15.7109375" style="167" customWidth="1"/>
    <col min="9" max="9" width="14.5703125" style="167" bestFit="1" customWidth="1"/>
    <col min="10" max="16384" width="9.140625" style="167"/>
  </cols>
  <sheetData>
    <row r="1" spans="1:9" ht="43.5" customHeight="1" x14ac:dyDescent="0.2">
      <c r="C1" s="234" t="s">
        <v>41</v>
      </c>
      <c r="D1" s="234"/>
      <c r="E1" s="234"/>
      <c r="F1" s="780" t="s">
        <v>421</v>
      </c>
      <c r="G1" s="780"/>
      <c r="H1" s="234"/>
    </row>
    <row r="2" spans="1:9" ht="35.25" customHeight="1" x14ac:dyDescent="0.3">
      <c r="C2" s="7"/>
      <c r="D2" s="235"/>
      <c r="E2" s="235"/>
      <c r="F2" s="781" t="s">
        <v>422</v>
      </c>
      <c r="G2" s="781"/>
      <c r="H2" s="235"/>
    </row>
    <row r="3" spans="1:9" ht="24" customHeight="1" x14ac:dyDescent="0.3">
      <c r="D3" s="675"/>
      <c r="E3" s="675"/>
      <c r="F3" s="228"/>
      <c r="G3" s="228"/>
    </row>
    <row r="4" spans="1:9" ht="25.5" customHeight="1" x14ac:dyDescent="0.2"/>
    <row r="5" spans="1:9" s="661" customFormat="1" ht="99.75" customHeight="1" x14ac:dyDescent="0.2">
      <c r="A5" s="678" t="s">
        <v>420</v>
      </c>
      <c r="B5" s="678"/>
      <c r="C5" s="678"/>
      <c r="D5" s="678"/>
      <c r="E5" s="678"/>
      <c r="F5" s="678"/>
      <c r="G5" s="678"/>
    </row>
    <row r="6" spans="1:9" s="1" customFormat="1" ht="122.25" customHeight="1" x14ac:dyDescent="0.25">
      <c r="A6" s="229" t="s">
        <v>0</v>
      </c>
      <c r="B6" s="465" t="s">
        <v>376</v>
      </c>
      <c r="C6" s="465" t="s">
        <v>166</v>
      </c>
      <c r="D6" s="561" t="s">
        <v>385</v>
      </c>
      <c r="E6" s="465" t="s">
        <v>386</v>
      </c>
      <c r="F6" s="465" t="s">
        <v>387</v>
      </c>
      <c r="G6" s="466" t="s">
        <v>388</v>
      </c>
    </row>
    <row r="7" spans="1:9" s="40" customFormat="1" ht="23.25" customHeight="1" x14ac:dyDescent="0.2">
      <c r="A7" s="470">
        <v>1</v>
      </c>
      <c r="B7" s="471">
        <v>2</v>
      </c>
      <c r="C7" s="471" t="s">
        <v>29</v>
      </c>
      <c r="D7" s="562" t="s">
        <v>29</v>
      </c>
      <c r="E7" s="471" t="s">
        <v>30</v>
      </c>
      <c r="F7" s="471" t="s">
        <v>35</v>
      </c>
      <c r="G7" s="472" t="s">
        <v>36</v>
      </c>
    </row>
    <row r="8" spans="1:9" s="451" customFormat="1" ht="26.25" customHeight="1" x14ac:dyDescent="0.25">
      <c r="A8" s="473">
        <v>1</v>
      </c>
      <c r="B8" s="467" t="s">
        <v>265</v>
      </c>
      <c r="C8" s="468">
        <v>4</v>
      </c>
      <c r="D8" s="469"/>
      <c r="E8" s="469"/>
      <c r="F8" s="469"/>
      <c r="G8" s="474"/>
      <c r="H8" s="452"/>
    </row>
    <row r="9" spans="1:9" s="9" customFormat="1" ht="24.75" customHeight="1" x14ac:dyDescent="0.25">
      <c r="A9" s="475">
        <v>1.1000000000000001</v>
      </c>
      <c r="B9" s="462" t="str">
        <f>'Калькуляция рб'!B10</f>
        <v>Современная флебология</v>
      </c>
      <c r="C9" s="463">
        <v>4</v>
      </c>
      <c r="D9" s="464">
        <f>'Калькуляция ИГ'!S10</f>
        <v>5634</v>
      </c>
      <c r="E9" s="464">
        <f>D9/4</f>
        <v>1408.5</v>
      </c>
      <c r="F9" s="464">
        <f>D9/3</f>
        <v>1878</v>
      </c>
      <c r="G9" s="476">
        <f>D9/2</f>
        <v>2817</v>
      </c>
      <c r="H9" s="230"/>
      <c r="I9" s="453"/>
    </row>
    <row r="10" spans="1:9" s="9" customFormat="1" ht="49.5" x14ac:dyDescent="0.25">
      <c r="A10" s="475">
        <v>1.2</v>
      </c>
      <c r="B10" s="462" t="str">
        <f>'Калькуляция рб'!B11</f>
        <v>Реконструктивная хирургия острой и хронической артериальной недостаточности конечностей</v>
      </c>
      <c r="C10" s="463">
        <v>4</v>
      </c>
      <c r="D10" s="464">
        <f>'Калькуляция ИГ'!S11</f>
        <v>5634</v>
      </c>
      <c r="E10" s="464">
        <f t="shared" ref="E10:E58" si="0">D10/4</f>
        <v>1408.5</v>
      </c>
      <c r="F10" s="464">
        <f t="shared" ref="F10:F58" si="1">D10/3</f>
        <v>1878</v>
      </c>
      <c r="G10" s="476">
        <f t="shared" ref="G10:G58" si="2">D10/2</f>
        <v>2817</v>
      </c>
      <c r="H10" s="230"/>
    </row>
    <row r="11" spans="1:9" s="9" customFormat="1" ht="33" x14ac:dyDescent="0.25">
      <c r="A11" s="475">
        <v>1.3</v>
      </c>
      <c r="B11" s="462" t="str">
        <f>'Калькуляция рб'!B12</f>
        <v xml:space="preserve">Современные подходы в лечении вентральных грыж </v>
      </c>
      <c r="C11" s="463">
        <v>4</v>
      </c>
      <c r="D11" s="464">
        <f>'Калькуляция ИГ'!S12</f>
        <v>5634</v>
      </c>
      <c r="E11" s="464">
        <f t="shared" si="0"/>
        <v>1408.5</v>
      </c>
      <c r="F11" s="464">
        <f t="shared" si="1"/>
        <v>1878</v>
      </c>
      <c r="G11" s="476">
        <f t="shared" si="2"/>
        <v>2817</v>
      </c>
      <c r="H11" s="230"/>
    </row>
    <row r="12" spans="1:9" s="9" customFormat="1" ht="21.75" customHeight="1" x14ac:dyDescent="0.25">
      <c r="A12" s="475">
        <v>1.4</v>
      </c>
      <c r="B12" s="462" t="str">
        <f>'Калькуляция рб'!B13</f>
        <v>Лапароскопия в абдоминальной хирургии</v>
      </c>
      <c r="C12" s="463">
        <v>4</v>
      </c>
      <c r="D12" s="464">
        <f>'Калькуляция ИГ'!S13</f>
        <v>5634</v>
      </c>
      <c r="E12" s="464">
        <f t="shared" si="0"/>
        <v>1408.5</v>
      </c>
      <c r="F12" s="464">
        <f t="shared" si="1"/>
        <v>1878</v>
      </c>
      <c r="G12" s="476">
        <f t="shared" si="2"/>
        <v>2817</v>
      </c>
      <c r="H12" s="230"/>
    </row>
    <row r="13" spans="1:9" s="9" customFormat="1" ht="49.5" x14ac:dyDescent="0.25">
      <c r="A13" s="475">
        <v>1.5</v>
      </c>
      <c r="B13" s="462" t="str">
        <f>'Калькуляция рб'!B14</f>
        <v xml:space="preserve">Малоинвазивные методики дренирования жидкостных образований брюшной полости под УЗИ контролем </v>
      </c>
      <c r="C13" s="463">
        <v>4</v>
      </c>
      <c r="D13" s="464">
        <f>'Калькуляция ИГ'!S14</f>
        <v>5634</v>
      </c>
      <c r="E13" s="464">
        <f t="shared" si="0"/>
        <v>1408.5</v>
      </c>
      <c r="F13" s="464">
        <f t="shared" si="1"/>
        <v>1878</v>
      </c>
      <c r="G13" s="476">
        <f t="shared" si="2"/>
        <v>2817</v>
      </c>
      <c r="H13" s="230"/>
    </row>
    <row r="14" spans="1:9" s="9" customFormat="1" ht="23.25" customHeight="1" x14ac:dyDescent="0.25">
      <c r="A14" s="475">
        <v>1.6</v>
      </c>
      <c r="B14" s="462" t="str">
        <f>'Калькуляция рб'!B15</f>
        <v>Хирургия хронического панкреатита</v>
      </c>
      <c r="C14" s="463">
        <v>4</v>
      </c>
      <c r="D14" s="464">
        <f>'Калькуляция ИГ'!S15</f>
        <v>5634</v>
      </c>
      <c r="E14" s="464">
        <f t="shared" si="0"/>
        <v>1408.5</v>
      </c>
      <c r="F14" s="464">
        <f t="shared" si="1"/>
        <v>1878</v>
      </c>
      <c r="G14" s="476">
        <f t="shared" si="2"/>
        <v>2817</v>
      </c>
      <c r="H14" s="230"/>
    </row>
    <row r="15" spans="1:9" s="9" customFormat="1" ht="33" x14ac:dyDescent="0.25">
      <c r="A15" s="475">
        <v>1.7</v>
      </c>
      <c r="B15" s="462" t="str">
        <f>'Калькуляция рб'!B16</f>
        <v>Экстренная и плановая торакальная хирургия</v>
      </c>
      <c r="C15" s="463">
        <v>4</v>
      </c>
      <c r="D15" s="464">
        <f>'Калькуляция ИГ'!S16</f>
        <v>5634</v>
      </c>
      <c r="E15" s="464">
        <f t="shared" si="0"/>
        <v>1408.5</v>
      </c>
      <c r="F15" s="464">
        <f t="shared" si="1"/>
        <v>1878</v>
      </c>
      <c r="G15" s="476">
        <f t="shared" si="2"/>
        <v>2817</v>
      </c>
      <c r="H15" s="230"/>
    </row>
    <row r="16" spans="1:9" s="9" customFormat="1" ht="23.25" customHeight="1" x14ac:dyDescent="0.25">
      <c r="A16" s="475">
        <v>1.8</v>
      </c>
      <c r="B16" s="462" t="str">
        <f>'Калькуляция рб'!B17</f>
        <v>Частные вопросы колопроктологии</v>
      </c>
      <c r="C16" s="463">
        <v>4</v>
      </c>
      <c r="D16" s="464">
        <f>'Калькуляция ИГ'!S17</f>
        <v>5304</v>
      </c>
      <c r="E16" s="464">
        <f t="shared" si="0"/>
        <v>1326</v>
      </c>
      <c r="F16" s="464">
        <f t="shared" si="1"/>
        <v>1768</v>
      </c>
      <c r="G16" s="476">
        <f t="shared" si="2"/>
        <v>2652</v>
      </c>
      <c r="H16" s="230"/>
    </row>
    <row r="17" spans="1:8" s="9" customFormat="1" ht="41.25" customHeight="1" x14ac:dyDescent="0.25">
      <c r="A17" s="475">
        <v>1.9</v>
      </c>
      <c r="B17" s="462" t="str">
        <f>'Калькуляция рб'!B18</f>
        <v>Неотложные состояния в урологии. Этиопатогенез. Диагностика. Лечение.</v>
      </c>
      <c r="C17" s="463">
        <v>4</v>
      </c>
      <c r="D17" s="464">
        <f>'Калькуляция ИГ'!S18</f>
        <v>10374</v>
      </c>
      <c r="E17" s="464">
        <f t="shared" si="0"/>
        <v>2593.5</v>
      </c>
      <c r="F17" s="464">
        <f t="shared" si="1"/>
        <v>3458</v>
      </c>
      <c r="G17" s="476">
        <f t="shared" si="2"/>
        <v>5187</v>
      </c>
      <c r="H17" s="230"/>
    </row>
    <row r="18" spans="1:8" s="451" customFormat="1" ht="26.25" customHeight="1" x14ac:dyDescent="0.25">
      <c r="A18" s="477">
        <v>2</v>
      </c>
      <c r="B18" s="459" t="s">
        <v>266</v>
      </c>
      <c r="C18" s="460">
        <v>4</v>
      </c>
      <c r="D18" s="461"/>
      <c r="E18" s="464">
        <f t="shared" si="0"/>
        <v>0</v>
      </c>
      <c r="F18" s="464">
        <f t="shared" si="1"/>
        <v>0</v>
      </c>
      <c r="G18" s="476">
        <f t="shared" si="2"/>
        <v>0</v>
      </c>
      <c r="H18" s="230"/>
    </row>
    <row r="19" spans="1:8" s="9" customFormat="1" ht="47.25" customHeight="1" x14ac:dyDescent="0.25">
      <c r="A19" s="475">
        <v>2.1</v>
      </c>
      <c r="B19" s="462" t="str">
        <f>'Калькуляция рб'!B20:B20</f>
        <v>Дифференциальная диагностика бронхообструктивного синдрома</v>
      </c>
      <c r="C19" s="463">
        <v>4</v>
      </c>
      <c r="D19" s="464">
        <f>'Калькуляция ИГ'!S20+'Калькуляция ИГ'!S21</f>
        <v>1809</v>
      </c>
      <c r="E19" s="464">
        <f t="shared" si="0"/>
        <v>452.25</v>
      </c>
      <c r="F19" s="464">
        <f t="shared" si="1"/>
        <v>603</v>
      </c>
      <c r="G19" s="476">
        <f t="shared" si="2"/>
        <v>904.5</v>
      </c>
      <c r="H19" s="230"/>
    </row>
    <row r="20" spans="1:8" s="9" customFormat="1" ht="42.75" customHeight="1" x14ac:dyDescent="0.25">
      <c r="A20" s="475" t="s">
        <v>91</v>
      </c>
      <c r="B20" s="462" t="str">
        <f>'Калькуляция рб'!B22</f>
        <v>Суточное мониторирование уровня глюкозы и помповая инсулинотерапия</v>
      </c>
      <c r="C20" s="463">
        <v>4</v>
      </c>
      <c r="D20" s="464">
        <f>'Калькуляция ИГ'!S22</f>
        <v>4890</v>
      </c>
      <c r="E20" s="464">
        <f t="shared" si="0"/>
        <v>1222.5</v>
      </c>
      <c r="F20" s="464">
        <f t="shared" si="1"/>
        <v>1630</v>
      </c>
      <c r="G20" s="476">
        <f t="shared" si="2"/>
        <v>2445</v>
      </c>
      <c r="H20" s="230"/>
    </row>
    <row r="21" spans="1:8" s="9" customFormat="1" ht="57" customHeight="1" x14ac:dyDescent="0.25">
      <c r="A21" s="475" t="s">
        <v>92</v>
      </c>
      <c r="B21" s="462" t="str">
        <f>'Калькуляция рб'!B23</f>
        <v>Реперфузионная терапия при ишемическом инсульте (для врачей-неврологов)</v>
      </c>
      <c r="C21" s="463">
        <v>4</v>
      </c>
      <c r="D21" s="464">
        <f>'Калькуляция ИГ'!S23</f>
        <v>4959</v>
      </c>
      <c r="E21" s="464">
        <f t="shared" si="0"/>
        <v>1239.75</v>
      </c>
      <c r="F21" s="464">
        <f t="shared" si="1"/>
        <v>1653</v>
      </c>
      <c r="G21" s="476">
        <f t="shared" si="2"/>
        <v>2479.5</v>
      </c>
      <c r="H21" s="230"/>
    </row>
    <row r="22" spans="1:8" s="9" customFormat="1" ht="58.5" customHeight="1" x14ac:dyDescent="0.25">
      <c r="A22" s="478" t="s">
        <v>93</v>
      </c>
      <c r="B22" s="479" t="str">
        <f>'Калькуляция рб'!B24</f>
        <v>Иммуномодулирующая терапия при рассеянном склерозе (для врачей-неврологов)</v>
      </c>
      <c r="C22" s="480">
        <v>4</v>
      </c>
      <c r="D22" s="481">
        <f>'Калькуляция ИГ'!S24</f>
        <v>4959</v>
      </c>
      <c r="E22" s="481">
        <f t="shared" si="0"/>
        <v>1239.75</v>
      </c>
      <c r="F22" s="481">
        <f t="shared" si="1"/>
        <v>1653</v>
      </c>
      <c r="G22" s="482">
        <f t="shared" si="2"/>
        <v>2479.5</v>
      </c>
      <c r="H22" s="230"/>
    </row>
    <row r="23" spans="1:8" s="9" customFormat="1" ht="60.75" customHeight="1" x14ac:dyDescent="0.25">
      <c r="A23" s="601" t="s">
        <v>94</v>
      </c>
      <c r="B23" s="602" t="str">
        <f>'Калькуляция рб'!B25</f>
        <v>Коматозные состояния: дифференциальная диагностика и лечебная тактика.</v>
      </c>
      <c r="C23" s="603">
        <v>4</v>
      </c>
      <c r="D23" s="604">
        <f>'Калькуляция ИГ'!S25</f>
        <v>2979</v>
      </c>
      <c r="E23" s="604">
        <f t="shared" si="0"/>
        <v>744.75</v>
      </c>
      <c r="F23" s="604">
        <f t="shared" si="1"/>
        <v>993</v>
      </c>
      <c r="G23" s="605">
        <f t="shared" si="2"/>
        <v>1489.5</v>
      </c>
      <c r="H23" s="230"/>
    </row>
    <row r="24" spans="1:8" s="9" customFormat="1" ht="60.75" customHeight="1" x14ac:dyDescent="0.25">
      <c r="A24" s="475" t="s">
        <v>95</v>
      </c>
      <c r="B24" s="528" t="s">
        <v>402</v>
      </c>
      <c r="C24" s="529"/>
      <c r="D24" s="530">
        <f>'Калькуляция ИГ'!S26</f>
        <v>4959</v>
      </c>
      <c r="E24" s="530">
        <f t="shared" si="0"/>
        <v>1239.75</v>
      </c>
      <c r="F24" s="530">
        <f t="shared" si="1"/>
        <v>1653</v>
      </c>
      <c r="G24" s="531">
        <f t="shared" si="2"/>
        <v>2479.5</v>
      </c>
      <c r="H24" s="230"/>
    </row>
    <row r="25" spans="1:8" s="451" customFormat="1" ht="26.25" customHeight="1" x14ac:dyDescent="0.25">
      <c r="A25" s="477">
        <v>3</v>
      </c>
      <c r="B25" s="459" t="s">
        <v>271</v>
      </c>
      <c r="C25" s="460">
        <v>2</v>
      </c>
      <c r="D25" s="461"/>
      <c r="E25" s="464">
        <f t="shared" si="0"/>
        <v>0</v>
      </c>
      <c r="F25" s="464">
        <f t="shared" si="1"/>
        <v>0</v>
      </c>
      <c r="G25" s="476">
        <f t="shared" si="2"/>
        <v>0</v>
      </c>
      <c r="H25" s="230"/>
    </row>
    <row r="26" spans="1:8" s="451" customFormat="1" ht="49.5" x14ac:dyDescent="0.25">
      <c r="A26" s="475">
        <v>3.1</v>
      </c>
      <c r="B26" s="462" t="str">
        <f>'Калькуляция рб'!B28</f>
        <v>Принципы диагностики злокачественных новообразований основных локализаций для врачей-онкологов</v>
      </c>
      <c r="C26" s="463">
        <v>4</v>
      </c>
      <c r="D26" s="464">
        <f>'Калькуляция ИГ'!S28</f>
        <v>6000</v>
      </c>
      <c r="E26" s="464">
        <f t="shared" si="0"/>
        <v>1500</v>
      </c>
      <c r="F26" s="464">
        <f t="shared" si="1"/>
        <v>2000</v>
      </c>
      <c r="G26" s="476">
        <f t="shared" si="2"/>
        <v>3000</v>
      </c>
      <c r="H26" s="230"/>
    </row>
    <row r="27" spans="1:8" s="451" customFormat="1" ht="49.5" x14ac:dyDescent="0.25">
      <c r="A27" s="475">
        <v>3.2</v>
      </c>
      <c r="B27" s="462" t="str">
        <f>'Калькуляция рб'!B29</f>
        <v xml:space="preserve">Принципы диагностики злокачественных новообразований основных локализаций для врачей-хирургов </v>
      </c>
      <c r="C27" s="463">
        <v>4</v>
      </c>
      <c r="D27" s="464">
        <f>'Калькуляция ИГ'!S29</f>
        <v>5865</v>
      </c>
      <c r="E27" s="464">
        <f t="shared" si="0"/>
        <v>1466.25</v>
      </c>
      <c r="F27" s="464">
        <f t="shared" si="1"/>
        <v>1955</v>
      </c>
      <c r="G27" s="476">
        <f t="shared" si="2"/>
        <v>2932.5</v>
      </c>
      <c r="H27" s="230"/>
    </row>
    <row r="28" spans="1:8" s="451" customFormat="1" ht="99" x14ac:dyDescent="0.25">
      <c r="A28" s="475" t="s">
        <v>381</v>
      </c>
      <c r="B28" s="462" t="str">
        <f>'Калькуляция рб'!B30</f>
        <v xml:space="preserve">Современные аспекты диагностики, лечения и профилактики злокачественных новообразований органов малого таза и наружных половых органов у женского населения (для врачей-акушеров-гинекологов) </v>
      </c>
      <c r="C28" s="463">
        <v>4</v>
      </c>
      <c r="D28" s="464">
        <f>'Калькуляция ИГ'!S30</f>
        <v>5880</v>
      </c>
      <c r="E28" s="464">
        <f t="shared" si="0"/>
        <v>1470</v>
      </c>
      <c r="F28" s="464">
        <f t="shared" si="1"/>
        <v>1960</v>
      </c>
      <c r="G28" s="476">
        <f t="shared" si="2"/>
        <v>2940</v>
      </c>
      <c r="H28" s="230"/>
    </row>
    <row r="29" spans="1:8" s="451" customFormat="1" ht="49.5" x14ac:dyDescent="0.25">
      <c r="A29" s="475">
        <v>3.4</v>
      </c>
      <c r="B29" s="462" t="str">
        <f>'Калькуляция рб'!B31</f>
        <v>Обще принципы диагностики опухолей головы и шеи (для врачей общей практики)</v>
      </c>
      <c r="C29" s="463">
        <v>4</v>
      </c>
      <c r="D29" s="464">
        <f>'Калькуляция ИГ'!S31</f>
        <v>2220</v>
      </c>
      <c r="E29" s="464">
        <f t="shared" si="0"/>
        <v>555</v>
      </c>
      <c r="F29" s="464">
        <f t="shared" si="1"/>
        <v>740</v>
      </c>
      <c r="G29" s="476">
        <f t="shared" si="2"/>
        <v>1110</v>
      </c>
      <c r="H29" s="230"/>
    </row>
    <row r="30" spans="1:8" s="451" customFormat="1" ht="26.25" customHeight="1" x14ac:dyDescent="0.25">
      <c r="A30" s="477">
        <v>4</v>
      </c>
      <c r="B30" s="459" t="s">
        <v>278</v>
      </c>
      <c r="C30" s="460">
        <v>4</v>
      </c>
      <c r="D30" s="461"/>
      <c r="E30" s="464">
        <f t="shared" si="0"/>
        <v>0</v>
      </c>
      <c r="F30" s="464">
        <f t="shared" si="1"/>
        <v>0</v>
      </c>
      <c r="G30" s="476">
        <f t="shared" si="2"/>
        <v>0</v>
      </c>
      <c r="H30" s="230"/>
    </row>
    <row r="31" spans="1:8" s="9" customFormat="1" ht="16.5" x14ac:dyDescent="0.25">
      <c r="A31" s="475">
        <v>4.0999999999999996</v>
      </c>
      <c r="B31" s="462" t="str">
        <f>'Калькуляция рб'!B33</f>
        <v xml:space="preserve">Диагностика опухолей ЛОР-органов </v>
      </c>
      <c r="C31" s="463">
        <v>4</v>
      </c>
      <c r="D31" s="464">
        <f>'Калькуляция ИГ'!S33</f>
        <v>3414</v>
      </c>
      <c r="E31" s="464">
        <f t="shared" si="0"/>
        <v>853.5</v>
      </c>
      <c r="F31" s="464">
        <f t="shared" si="1"/>
        <v>1138</v>
      </c>
      <c r="G31" s="476">
        <f t="shared" si="2"/>
        <v>1707</v>
      </c>
      <c r="H31" s="230"/>
    </row>
    <row r="32" spans="1:8" s="9" customFormat="1" ht="33" x14ac:dyDescent="0.25">
      <c r="A32" s="475">
        <v>4.2</v>
      </c>
      <c r="B32" s="462" t="str">
        <f>'Калькуляция рб'!B34</f>
        <v>Современные методы исследования слуха у детей и взрослых</v>
      </c>
      <c r="C32" s="463">
        <v>4</v>
      </c>
      <c r="D32" s="464">
        <f>'Калькуляция ИГ'!S34</f>
        <v>3414</v>
      </c>
      <c r="E32" s="464">
        <f t="shared" si="0"/>
        <v>853.5</v>
      </c>
      <c r="F32" s="464">
        <f t="shared" si="1"/>
        <v>1138</v>
      </c>
      <c r="G32" s="476">
        <f t="shared" si="2"/>
        <v>1707</v>
      </c>
      <c r="H32" s="230"/>
    </row>
    <row r="33" spans="1:11" s="451" customFormat="1" ht="26.25" customHeight="1" x14ac:dyDescent="0.25">
      <c r="A33" s="477">
        <v>5</v>
      </c>
      <c r="B33" s="459" t="s">
        <v>281</v>
      </c>
      <c r="C33" s="460">
        <v>2</v>
      </c>
      <c r="D33" s="461"/>
      <c r="E33" s="464">
        <f t="shared" si="0"/>
        <v>0</v>
      </c>
      <c r="F33" s="464">
        <f t="shared" si="1"/>
        <v>0</v>
      </c>
      <c r="G33" s="476">
        <f t="shared" si="2"/>
        <v>0</v>
      </c>
      <c r="H33" s="230"/>
    </row>
    <row r="34" spans="1:11" s="9" customFormat="1" ht="33" customHeight="1" x14ac:dyDescent="0.25">
      <c r="A34" s="475">
        <v>5.0999999999999996</v>
      </c>
      <c r="B34" s="462" t="str">
        <f>'Калькуляция рб'!B36</f>
        <v>Патологии слёзных путей у взрослых и детей</v>
      </c>
      <c r="C34" s="463">
        <v>4</v>
      </c>
      <c r="D34" s="668">
        <f>'Калькуляция ИГ'!S36</f>
        <v>5751</v>
      </c>
      <c r="E34" s="464">
        <f>D34/4</f>
        <v>1437.75</v>
      </c>
      <c r="F34" s="464">
        <f t="shared" si="1"/>
        <v>1917</v>
      </c>
      <c r="G34" s="476">
        <f t="shared" si="2"/>
        <v>2875.5</v>
      </c>
      <c r="H34" s="230"/>
      <c r="I34" s="671"/>
      <c r="J34" s="671"/>
      <c r="K34" s="671"/>
    </row>
    <row r="35" spans="1:11" s="451" customFormat="1" ht="32.25" customHeight="1" x14ac:dyDescent="0.25">
      <c r="A35" s="477">
        <v>6</v>
      </c>
      <c r="B35" s="459" t="s">
        <v>375</v>
      </c>
      <c r="C35" s="460">
        <v>4</v>
      </c>
      <c r="D35" s="669"/>
      <c r="E35" s="464">
        <f t="shared" si="0"/>
        <v>0</v>
      </c>
      <c r="F35" s="464">
        <f t="shared" si="1"/>
        <v>0</v>
      </c>
      <c r="G35" s="476">
        <f t="shared" si="2"/>
        <v>0</v>
      </c>
      <c r="H35" s="230"/>
    </row>
    <row r="36" spans="1:11" s="9" customFormat="1" ht="33" x14ac:dyDescent="0.25">
      <c r="A36" s="475">
        <v>6.1</v>
      </c>
      <c r="B36" s="462" t="str">
        <f>'Калькуляция рб'!B38</f>
        <v>Методы экстракорпорального очищения крови в интенсивной терапии</v>
      </c>
      <c r="C36" s="463">
        <v>4</v>
      </c>
      <c r="D36" s="668">
        <f>'Калькуляция ИГ'!S38</f>
        <v>6165</v>
      </c>
      <c r="E36" s="464">
        <f t="shared" si="0"/>
        <v>1541.25</v>
      </c>
      <c r="F36" s="464">
        <f t="shared" si="1"/>
        <v>2055</v>
      </c>
      <c r="G36" s="476">
        <f t="shared" si="2"/>
        <v>3082.5</v>
      </c>
      <c r="H36" s="230"/>
    </row>
    <row r="37" spans="1:11" s="9" customFormat="1" ht="33" x14ac:dyDescent="0.25">
      <c r="A37" s="475">
        <v>6.2</v>
      </c>
      <c r="B37" s="462" t="str">
        <f>'Калькуляция рб'!B39</f>
        <v>Клинические аспекты нарушений гемостаза в интенсивной терапии</v>
      </c>
      <c r="C37" s="463">
        <v>4</v>
      </c>
      <c r="D37" s="668">
        <f>'Калькуляция ИГ'!S39</f>
        <v>6786</v>
      </c>
      <c r="E37" s="464">
        <f t="shared" si="0"/>
        <v>1696.5</v>
      </c>
      <c r="F37" s="464">
        <f t="shared" si="1"/>
        <v>2262</v>
      </c>
      <c r="G37" s="476">
        <f t="shared" si="2"/>
        <v>3393</v>
      </c>
      <c r="H37" s="230"/>
    </row>
    <row r="38" spans="1:11" s="9" customFormat="1" ht="33" x14ac:dyDescent="0.25">
      <c r="A38" s="475">
        <v>6.3</v>
      </c>
      <c r="B38" s="462" t="str">
        <f>'Калькуляция рб'!B40</f>
        <v>УЗИ в анестезиологии и интенсивной терапии</v>
      </c>
      <c r="C38" s="463">
        <v>4</v>
      </c>
      <c r="D38" s="668">
        <f>'Калькуляция ИГ'!S40</f>
        <v>6786</v>
      </c>
      <c r="E38" s="464">
        <f t="shared" si="0"/>
        <v>1696.5</v>
      </c>
      <c r="F38" s="464">
        <f t="shared" si="1"/>
        <v>2262</v>
      </c>
      <c r="G38" s="476">
        <f t="shared" si="2"/>
        <v>3393</v>
      </c>
      <c r="H38" s="230"/>
    </row>
    <row r="39" spans="1:11" s="9" customFormat="1" ht="26.25" customHeight="1" x14ac:dyDescent="0.25">
      <c r="A39" s="475">
        <v>6.4</v>
      </c>
      <c r="B39" s="462" t="str">
        <f>'Калькуляция рб'!B41</f>
        <v>Регионарные блокады в анестезиологии</v>
      </c>
      <c r="C39" s="463">
        <v>4</v>
      </c>
      <c r="D39" s="668">
        <f>'Калькуляция ИГ'!S41</f>
        <v>6786</v>
      </c>
      <c r="E39" s="464">
        <f t="shared" si="0"/>
        <v>1696.5</v>
      </c>
      <c r="F39" s="464">
        <f t="shared" si="1"/>
        <v>2262</v>
      </c>
      <c r="G39" s="476">
        <f t="shared" si="2"/>
        <v>3393</v>
      </c>
      <c r="H39" s="230"/>
    </row>
    <row r="40" spans="1:11" s="9" customFormat="1" ht="49.5" x14ac:dyDescent="0.25">
      <c r="A40" s="475">
        <v>6.5</v>
      </c>
      <c r="B40" s="462" t="str">
        <f>'Калькуляция рб'!B42</f>
        <v>Освоение техники сложной интубации и интубации при помощи видеоэндоскопической техники</v>
      </c>
      <c r="C40" s="463">
        <v>4</v>
      </c>
      <c r="D40" s="668">
        <f>'Калькуляция ИГ'!S42</f>
        <v>6789</v>
      </c>
      <c r="E40" s="464">
        <f t="shared" si="0"/>
        <v>1697.25</v>
      </c>
      <c r="F40" s="464">
        <f t="shared" si="1"/>
        <v>2263</v>
      </c>
      <c r="G40" s="476">
        <f t="shared" si="2"/>
        <v>3394.5</v>
      </c>
      <c r="H40" s="230"/>
    </row>
    <row r="41" spans="1:11" s="451" customFormat="1" ht="26.25" customHeight="1" x14ac:dyDescent="0.25">
      <c r="A41" s="477">
        <v>7</v>
      </c>
      <c r="B41" s="459" t="s">
        <v>286</v>
      </c>
      <c r="C41" s="460">
        <v>4</v>
      </c>
      <c r="D41" s="461"/>
      <c r="E41" s="464"/>
      <c r="F41" s="464"/>
      <c r="G41" s="476"/>
      <c r="H41" s="230"/>
    </row>
    <row r="42" spans="1:11" s="9" customFormat="1" ht="49.5" x14ac:dyDescent="0.25">
      <c r="A42" s="475">
        <v>7.1</v>
      </c>
      <c r="B42" s="462" t="str">
        <f>'Калькуляция рб'!B44</f>
        <v>МРТ острого нарушения мозгового кровообращения и онкологических заболеваний</v>
      </c>
      <c r="C42" s="463">
        <v>4</v>
      </c>
      <c r="D42" s="668">
        <f>'Калькуляция ИГ'!S44</f>
        <v>5130</v>
      </c>
      <c r="E42" s="464">
        <f t="shared" si="0"/>
        <v>1282.5</v>
      </c>
      <c r="F42" s="464">
        <f t="shared" si="1"/>
        <v>1710</v>
      </c>
      <c r="G42" s="476">
        <f t="shared" si="2"/>
        <v>2565</v>
      </c>
      <c r="H42" s="230"/>
    </row>
    <row r="43" spans="1:11" s="9" customFormat="1" ht="33" x14ac:dyDescent="0.25">
      <c r="A43" s="475">
        <v>7.2</v>
      </c>
      <c r="B43" s="462" t="str">
        <f>'Калькуляция рб'!B45</f>
        <v>МРТ диагностика онкологических заболеваний органов малого таза</v>
      </c>
      <c r="C43" s="463">
        <v>4</v>
      </c>
      <c r="D43" s="668">
        <f>'Калькуляция ИГ'!S45</f>
        <v>5130</v>
      </c>
      <c r="E43" s="464">
        <f t="shared" si="0"/>
        <v>1282.5</v>
      </c>
      <c r="F43" s="464">
        <f t="shared" si="1"/>
        <v>1710</v>
      </c>
      <c r="G43" s="476">
        <f t="shared" si="2"/>
        <v>2565</v>
      </c>
      <c r="H43" s="230"/>
    </row>
    <row r="44" spans="1:11" s="9" customFormat="1" ht="49.5" x14ac:dyDescent="0.25">
      <c r="A44" s="475">
        <v>7.3</v>
      </c>
      <c r="B44" s="462" t="str">
        <f>'Калькуляция рб'!B46</f>
        <v>МРТ диагностика костно-суставной системы (для врачей лучевой диагностики)</v>
      </c>
      <c r="C44" s="463">
        <v>4</v>
      </c>
      <c r="D44" s="668">
        <f>'Калькуляция ИГ'!S46</f>
        <v>5130</v>
      </c>
      <c r="E44" s="464">
        <f t="shared" si="0"/>
        <v>1282.5</v>
      </c>
      <c r="F44" s="464">
        <f t="shared" si="1"/>
        <v>1710</v>
      </c>
      <c r="G44" s="476">
        <f t="shared" si="2"/>
        <v>2565</v>
      </c>
      <c r="H44" s="230"/>
    </row>
    <row r="45" spans="1:11" s="9" customFormat="1" ht="33" x14ac:dyDescent="0.25">
      <c r="A45" s="475">
        <v>7.4</v>
      </c>
      <c r="B45" s="462" t="str">
        <f>'Калькуляция рб'!B47</f>
        <v>Принципы КТ диагностики онкологических заболеваний</v>
      </c>
      <c r="C45" s="463">
        <v>4</v>
      </c>
      <c r="D45" s="668">
        <f>'Калькуляция ИГ'!S47</f>
        <v>7086</v>
      </c>
      <c r="E45" s="464">
        <f t="shared" si="0"/>
        <v>1771.5</v>
      </c>
      <c r="F45" s="464">
        <f t="shared" si="1"/>
        <v>2362</v>
      </c>
      <c r="G45" s="476">
        <f t="shared" si="2"/>
        <v>3543</v>
      </c>
      <c r="H45" s="230"/>
    </row>
    <row r="46" spans="1:11" s="9" customFormat="1" ht="33" x14ac:dyDescent="0.25">
      <c r="A46" s="475">
        <v>7.5</v>
      </c>
      <c r="B46" s="462" t="str">
        <f>'Калькуляция рб'!B48</f>
        <v>Ранняя рентгенологическая диагностика онкологических заболеваний</v>
      </c>
      <c r="C46" s="463">
        <v>4</v>
      </c>
      <c r="D46" s="668">
        <f>'Калькуляция ИГ'!S48</f>
        <v>6933</v>
      </c>
      <c r="E46" s="464">
        <f t="shared" si="0"/>
        <v>1733.25</v>
      </c>
      <c r="F46" s="464">
        <f t="shared" si="1"/>
        <v>2311</v>
      </c>
      <c r="G46" s="476">
        <f t="shared" si="2"/>
        <v>3466.5</v>
      </c>
      <c r="H46" s="230"/>
    </row>
    <row r="47" spans="1:11" s="9" customFormat="1" ht="16.5" x14ac:dyDescent="0.25">
      <c r="A47" s="475">
        <v>7.6</v>
      </c>
      <c r="B47" s="462" t="str">
        <f>'Калькуляция рб'!B49</f>
        <v xml:space="preserve">Маммография </v>
      </c>
      <c r="C47" s="463">
        <v>4</v>
      </c>
      <c r="D47" s="668">
        <f>'Калькуляция ИГ'!S49</f>
        <v>6933</v>
      </c>
      <c r="E47" s="464">
        <f t="shared" si="0"/>
        <v>1733.25</v>
      </c>
      <c r="F47" s="464">
        <f t="shared" si="1"/>
        <v>2311</v>
      </c>
      <c r="G47" s="476">
        <f t="shared" si="2"/>
        <v>3466.5</v>
      </c>
      <c r="H47" s="230"/>
    </row>
    <row r="48" spans="1:11" s="9" customFormat="1" ht="66" x14ac:dyDescent="0.25">
      <c r="A48" s="475">
        <v>7.7</v>
      </c>
      <c r="B48" s="462" t="str">
        <f>'Калькуляция рб'!B50</f>
        <v>Методы функциональной диагностики заболеваний сердечно-сосудистой системы для врачей общей практики, врачей-терапевтов и врачей-кардиологов</v>
      </c>
      <c r="C48" s="463">
        <v>4</v>
      </c>
      <c r="D48" s="668">
        <f>'Калькуляция ИГ'!S50</f>
        <v>4512</v>
      </c>
      <c r="E48" s="464">
        <f t="shared" si="0"/>
        <v>1128</v>
      </c>
      <c r="F48" s="464">
        <f t="shared" si="1"/>
        <v>1504</v>
      </c>
      <c r="G48" s="476">
        <f t="shared" si="2"/>
        <v>2256</v>
      </c>
      <c r="H48" s="230"/>
    </row>
    <row r="49" spans="1:8" s="9" customFormat="1" ht="66" x14ac:dyDescent="0.25">
      <c r="A49" s="475">
        <v>7.8</v>
      </c>
      <c r="B49" s="462" t="str">
        <f>'Калькуляция рб'!B51</f>
        <v>Методы функциональной диагностики заболеваний сердечно-сосудистой системы для врачей функциональной диагностики</v>
      </c>
      <c r="C49" s="463">
        <v>4</v>
      </c>
      <c r="D49" s="668">
        <f>'Калькуляция ИГ'!S51</f>
        <v>4512</v>
      </c>
      <c r="E49" s="464">
        <f t="shared" si="0"/>
        <v>1128</v>
      </c>
      <c r="F49" s="464">
        <f t="shared" si="1"/>
        <v>1504</v>
      </c>
      <c r="G49" s="476">
        <f t="shared" si="2"/>
        <v>2256</v>
      </c>
      <c r="H49" s="230"/>
    </row>
    <row r="50" spans="1:8" s="9" customFormat="1" ht="33" x14ac:dyDescent="0.25">
      <c r="A50" s="475">
        <v>7.9</v>
      </c>
      <c r="B50" s="462" t="str">
        <f>'Калькуляция рб'!B52</f>
        <v>Ультразвуковая диагностика заболеваний брахиоцефальных артерий</v>
      </c>
      <c r="C50" s="463">
        <v>4</v>
      </c>
      <c r="D50" s="668">
        <f>'Калькуляция ИГ'!S52</f>
        <v>5727</v>
      </c>
      <c r="E50" s="464">
        <f t="shared" si="0"/>
        <v>1431.75</v>
      </c>
      <c r="F50" s="464">
        <f t="shared" si="1"/>
        <v>1909</v>
      </c>
      <c r="G50" s="476">
        <f t="shared" si="2"/>
        <v>2863.5</v>
      </c>
      <c r="H50" s="230"/>
    </row>
    <row r="51" spans="1:8" s="9" customFormat="1" ht="33" x14ac:dyDescent="0.25">
      <c r="A51" s="483">
        <v>7.1</v>
      </c>
      <c r="B51" s="462" t="str">
        <f>'Калькуляция рб'!B53</f>
        <v>Ультразвуковая диагностика заболеваний вен нижних конечностей</v>
      </c>
      <c r="C51" s="463">
        <v>4</v>
      </c>
      <c r="D51" s="668">
        <f>'Калькуляция ИГ'!S53</f>
        <v>5727</v>
      </c>
      <c r="E51" s="464">
        <f t="shared" si="0"/>
        <v>1431.75</v>
      </c>
      <c r="F51" s="464">
        <f t="shared" si="1"/>
        <v>1909</v>
      </c>
      <c r="G51" s="476">
        <f t="shared" si="2"/>
        <v>2863.5</v>
      </c>
      <c r="H51" s="230"/>
    </row>
    <row r="52" spans="1:8" s="9" customFormat="1" ht="33" x14ac:dyDescent="0.25">
      <c r="A52" s="483">
        <v>7.11</v>
      </c>
      <c r="B52" s="462" t="str">
        <f>'Калькуляция рб'!B54</f>
        <v>Ультразвуковая диагностика заболеваний молочной железы</v>
      </c>
      <c r="C52" s="463">
        <v>4</v>
      </c>
      <c r="D52" s="668">
        <f>'Калькуляция ИГ'!S54</f>
        <v>5727</v>
      </c>
      <c r="E52" s="464">
        <f t="shared" si="0"/>
        <v>1431.75</v>
      </c>
      <c r="F52" s="464">
        <f t="shared" si="1"/>
        <v>1909</v>
      </c>
      <c r="G52" s="476">
        <f t="shared" si="2"/>
        <v>2863.5</v>
      </c>
      <c r="H52" s="230"/>
    </row>
    <row r="53" spans="1:8" s="451" customFormat="1" ht="39" customHeight="1" x14ac:dyDescent="0.25">
      <c r="A53" s="477">
        <v>8</v>
      </c>
      <c r="B53" s="459" t="s">
        <v>293</v>
      </c>
      <c r="C53" s="460">
        <v>2</v>
      </c>
      <c r="D53" s="669"/>
      <c r="E53" s="464"/>
      <c r="F53" s="464"/>
      <c r="G53" s="476"/>
      <c r="H53" s="230"/>
    </row>
    <row r="54" spans="1:8" s="9" customFormat="1" ht="33" hidden="1" x14ac:dyDescent="0.25">
      <c r="A54" s="475">
        <v>8.1</v>
      </c>
      <c r="B54" s="462" t="str">
        <f>'Калькуляция рб'!B56</f>
        <v>Актуальные вопросы инфекционного контроля в стационаре</v>
      </c>
      <c r="C54" s="463">
        <v>4</v>
      </c>
      <c r="D54" s="668">
        <f>'Калькуляция ИГ'!S56</f>
        <v>0</v>
      </c>
      <c r="E54" s="464">
        <f t="shared" si="0"/>
        <v>0</v>
      </c>
      <c r="F54" s="464">
        <f t="shared" si="1"/>
        <v>0</v>
      </c>
      <c r="G54" s="476">
        <f t="shared" si="2"/>
        <v>0</v>
      </c>
      <c r="H54" s="230"/>
    </row>
    <row r="55" spans="1:8" s="9" customFormat="1" ht="85.5" customHeight="1" x14ac:dyDescent="0.25">
      <c r="A55" s="475">
        <v>8.1</v>
      </c>
      <c r="B55" s="462" t="str">
        <f>'Калькуляция рб'!B57</f>
        <v>Актуальные вопросы в практической деятельности медицинской сестры-анестезиста (медицинского брата-анестезиста) отделения анестезиологии и реанимации</v>
      </c>
      <c r="C55" s="463">
        <v>4</v>
      </c>
      <c r="D55" s="668">
        <f>'Калькуляция ИГ'!S57</f>
        <v>4335</v>
      </c>
      <c r="E55" s="464">
        <f t="shared" si="0"/>
        <v>1083.75</v>
      </c>
      <c r="F55" s="464">
        <f t="shared" si="1"/>
        <v>1445</v>
      </c>
      <c r="G55" s="476">
        <f t="shared" si="2"/>
        <v>2167.5</v>
      </c>
      <c r="H55" s="230"/>
    </row>
    <row r="56" spans="1:8" s="9" customFormat="1" ht="66" x14ac:dyDescent="0.25">
      <c r="A56" s="475">
        <v>8.1999999999999993</v>
      </c>
      <c r="B56" s="462" t="str">
        <f>'Калькуляция рб'!B58</f>
        <v>Актуальные вопросы в практической деятельности медицинской сестры (медицинского брата) централизованного стерилизационного отделения</v>
      </c>
      <c r="C56" s="463">
        <v>4</v>
      </c>
      <c r="D56" s="668">
        <f>'Калькуляция ИГ'!S58</f>
        <v>3222</v>
      </c>
      <c r="E56" s="464">
        <f t="shared" si="0"/>
        <v>805.5</v>
      </c>
      <c r="F56" s="464">
        <f t="shared" si="1"/>
        <v>1074</v>
      </c>
      <c r="G56" s="476">
        <f t="shared" si="2"/>
        <v>1611</v>
      </c>
      <c r="H56" s="230"/>
    </row>
    <row r="57" spans="1:8" s="9" customFormat="1" ht="69.75" customHeight="1" x14ac:dyDescent="0.25">
      <c r="A57" s="475">
        <v>8.3000000000000007</v>
      </c>
      <c r="B57" s="462" t="str">
        <f>'Калькуляция рб'!B59</f>
        <v>Актуальные вопросы в практической деятельности медицинской сестры (медицинского брата) отделения гемодиализа с экстракорпоральными методами детоксикации</v>
      </c>
      <c r="C57" s="463">
        <v>4</v>
      </c>
      <c r="D57" s="668">
        <f>'Калькуляция ИГ'!S59</f>
        <v>3678</v>
      </c>
      <c r="E57" s="464">
        <f t="shared" si="0"/>
        <v>919.5</v>
      </c>
      <c r="F57" s="464">
        <f t="shared" si="1"/>
        <v>1226</v>
      </c>
      <c r="G57" s="476">
        <f t="shared" si="2"/>
        <v>1839</v>
      </c>
      <c r="H57" s="230"/>
    </row>
    <row r="58" spans="1:8" s="9" customFormat="1" ht="69" customHeight="1" x14ac:dyDescent="0.25">
      <c r="A58" s="478" t="s">
        <v>384</v>
      </c>
      <c r="B58" s="479" t="str">
        <f>'Калькуляция рб'!B60</f>
        <v>Актуальные вопросы в практической деятельности медицинской сестры (медицинского брата) операционного хирургического блока</v>
      </c>
      <c r="C58" s="480">
        <v>4</v>
      </c>
      <c r="D58" s="670">
        <f>'Калькуляция ИГ'!S60</f>
        <v>4030</v>
      </c>
      <c r="E58" s="481">
        <f t="shared" si="0"/>
        <v>1007.5</v>
      </c>
      <c r="F58" s="481">
        <f t="shared" si="1"/>
        <v>1343.3333333333333</v>
      </c>
      <c r="G58" s="482">
        <f t="shared" si="2"/>
        <v>2015</v>
      </c>
      <c r="H58" s="230"/>
    </row>
    <row r="59" spans="1:8" s="12" customFormat="1" ht="17.25" customHeight="1" x14ac:dyDescent="0.25">
      <c r="A59" s="231"/>
      <c r="D59" s="563"/>
    </row>
    <row r="60" spans="1:8" s="1" customFormat="1" ht="16.5" x14ac:dyDescent="0.25">
      <c r="A60" s="674" t="s">
        <v>25</v>
      </c>
      <c r="B60" s="674"/>
      <c r="C60" s="651"/>
      <c r="D60" s="564"/>
      <c r="E60" s="233" t="s">
        <v>34</v>
      </c>
      <c r="F60" s="233"/>
      <c r="G60" s="233"/>
    </row>
    <row r="61" spans="1:8" s="1" customFormat="1" ht="9" customHeight="1" x14ac:dyDescent="0.25">
      <c r="A61" s="651"/>
      <c r="B61" s="651"/>
      <c r="C61" s="651"/>
      <c r="D61" s="564"/>
      <c r="E61" s="233"/>
      <c r="F61" s="233"/>
      <c r="G61" s="233"/>
    </row>
    <row r="62" spans="1:8" s="1" customFormat="1" ht="21" customHeight="1" x14ac:dyDescent="0.25">
      <c r="A62" s="674"/>
      <c r="B62" s="674"/>
      <c r="C62" s="651"/>
      <c r="D62" s="564"/>
      <c r="E62" s="233"/>
      <c r="F62" s="233"/>
      <c r="G62" s="233"/>
    </row>
    <row r="63" spans="1:8" s="1" customFormat="1" ht="10.5" customHeight="1" x14ac:dyDescent="0.25">
      <c r="A63" s="651"/>
      <c r="B63" s="651"/>
      <c r="C63" s="651"/>
      <c r="D63" s="564"/>
      <c r="E63" s="233"/>
      <c r="F63" s="233"/>
      <c r="G63" s="233"/>
    </row>
    <row r="64" spans="1:8" s="1" customFormat="1" ht="16.5" customHeight="1" x14ac:dyDescent="0.25">
      <c r="A64" s="674"/>
      <c r="B64" s="674"/>
      <c r="C64" s="651"/>
      <c r="D64" s="564"/>
      <c r="E64" s="233"/>
      <c r="F64" s="233"/>
      <c r="G64" s="233"/>
    </row>
    <row r="65" spans="1:7" s="8" customFormat="1" ht="20.45" customHeight="1" x14ac:dyDescent="0.2">
      <c r="A65" s="674"/>
      <c r="B65" s="674"/>
      <c r="C65" s="651"/>
      <c r="D65" s="564"/>
      <c r="E65" s="233"/>
      <c r="F65" s="233"/>
      <c r="G65" s="233"/>
    </row>
    <row r="66" spans="1:7" ht="11.25" customHeight="1" x14ac:dyDescent="0.2"/>
    <row r="67" spans="1:7" ht="29.25" hidden="1" customHeight="1" x14ac:dyDescent="0.2">
      <c r="A67" s="674" t="s">
        <v>167</v>
      </c>
      <c r="B67" s="674"/>
      <c r="E67" s="53" t="s">
        <v>168</v>
      </c>
      <c r="F67" s="53"/>
      <c r="G67" s="53"/>
    </row>
    <row r="68" spans="1:7" hidden="1" x14ac:dyDescent="0.2"/>
    <row r="69" spans="1:7" s="8" customFormat="1" ht="38.25" hidden="1" customHeight="1" x14ac:dyDescent="0.2">
      <c r="A69" s="674" t="s">
        <v>169</v>
      </c>
      <c r="B69" s="674"/>
      <c r="C69" s="674"/>
      <c r="D69" s="566"/>
      <c r="E69" s="8" t="s">
        <v>170</v>
      </c>
    </row>
    <row r="70" spans="1:7" hidden="1" x14ac:dyDescent="0.2"/>
    <row r="82" spans="2:9" s="227" customFormat="1" ht="1.5" customHeight="1" x14ac:dyDescent="0.2">
      <c r="B82" s="167"/>
      <c r="C82" s="167"/>
      <c r="D82" s="565"/>
      <c r="E82" s="167"/>
      <c r="F82" s="167"/>
      <c r="G82" s="167"/>
      <c r="H82" s="167"/>
      <c r="I82" s="167"/>
    </row>
  </sheetData>
  <mergeCells count="10">
    <mergeCell ref="F1:G1"/>
    <mergeCell ref="F2:G2"/>
    <mergeCell ref="A64:B64"/>
    <mergeCell ref="A65:B65"/>
    <mergeCell ref="A67:B67"/>
    <mergeCell ref="A69:C69"/>
    <mergeCell ref="D3:E3"/>
    <mergeCell ref="A5:G5"/>
    <mergeCell ref="A60:B60"/>
    <mergeCell ref="A62:B62"/>
  </mergeCells>
  <pageMargins left="0.78740157480314965" right="0" top="0.78740157480314965" bottom="0.78740157480314965" header="0.51181102362204722" footer="0.31496062992125984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68"/>
  <sheetViews>
    <sheetView view="pageBreakPreview" topLeftCell="A8" zoomScale="80" zoomScaleNormal="100" zoomScaleSheetLayoutView="80" workbookViewId="0">
      <selection activeCell="O11" sqref="O11"/>
    </sheetView>
  </sheetViews>
  <sheetFormatPr defaultRowHeight="12.75" x14ac:dyDescent="0.2"/>
  <cols>
    <col min="1" max="1" width="5.85546875" style="305" customWidth="1"/>
    <col min="2" max="2" width="22.5703125" style="337" customWidth="1"/>
    <col min="3" max="3" width="13.28515625" style="337" customWidth="1"/>
    <col min="4" max="4" width="8" style="430" customWidth="1"/>
    <col min="5" max="5" width="9.5703125" style="305" customWidth="1"/>
    <col min="6" max="6" width="10.5703125" style="557" customWidth="1"/>
    <col min="7" max="7" width="9" style="305" customWidth="1"/>
    <col min="8" max="8" width="11.7109375" style="305" customWidth="1"/>
    <col min="9" max="9" width="13" style="305" customWidth="1"/>
    <col min="10" max="10" width="15" style="305" customWidth="1"/>
    <col min="11" max="11" width="12.7109375" style="305" customWidth="1"/>
    <col min="12" max="12" width="11" style="305" customWidth="1"/>
    <col min="13" max="13" width="9.140625" style="305" hidden="1" customWidth="1"/>
    <col min="14" max="14" width="11.7109375" style="305" customWidth="1"/>
    <col min="15" max="15" width="8.85546875" style="305" customWidth="1"/>
    <col min="16" max="16" width="8.7109375" style="305" customWidth="1"/>
    <col min="17" max="17" width="12.28515625" style="305" customWidth="1"/>
    <col min="18" max="18" width="6.5703125" style="430" customWidth="1"/>
    <col min="19" max="19" width="11.28515625" style="305" customWidth="1"/>
    <col min="20" max="20" width="8.5703125" style="305" hidden="1" customWidth="1"/>
    <col min="21" max="21" width="9.85546875" style="337" hidden="1" customWidth="1"/>
    <col min="22" max="23" width="12.7109375" style="167" hidden="1" customWidth="1"/>
    <col min="24" max="24" width="9.140625" style="167" hidden="1" customWidth="1"/>
    <col min="25" max="25" width="11" style="167" hidden="1" customWidth="1"/>
    <col min="26" max="26" width="10.5703125" style="167" hidden="1" customWidth="1"/>
    <col min="27" max="27" width="10.85546875" style="167" hidden="1" customWidth="1"/>
    <col min="28" max="28" width="12.28515625" style="167" hidden="1" customWidth="1"/>
    <col min="29" max="29" width="9.140625" style="167" hidden="1" customWidth="1"/>
    <col min="30" max="30" width="12.28515625" style="534" customWidth="1"/>
    <col min="31" max="31" width="11.28515625" style="545" customWidth="1"/>
    <col min="32" max="32" width="13.85546875" style="167" customWidth="1"/>
    <col min="33" max="16384" width="9.140625" style="305"/>
  </cols>
  <sheetData>
    <row r="1" spans="1:34" ht="63" customHeight="1" x14ac:dyDescent="0.2">
      <c r="N1" s="698" t="s">
        <v>417</v>
      </c>
      <c r="O1" s="698"/>
      <c r="P1" s="698"/>
      <c r="Q1" s="698"/>
      <c r="R1" s="698"/>
      <c r="S1" s="698"/>
      <c r="T1" s="645"/>
      <c r="V1" s="646"/>
      <c r="W1" s="646"/>
      <c r="X1" s="646"/>
      <c r="Y1" s="646"/>
      <c r="Z1" s="646"/>
      <c r="AA1" s="646"/>
      <c r="AB1" s="646"/>
      <c r="AC1" s="646"/>
      <c r="AE1" s="646"/>
      <c r="AF1" s="646"/>
    </row>
    <row r="2" spans="1:34" ht="31.5" customHeight="1" x14ac:dyDescent="0.2">
      <c r="N2" s="650"/>
      <c r="O2" s="699" t="s">
        <v>147</v>
      </c>
      <c r="P2" s="699"/>
      <c r="Q2" s="699"/>
      <c r="R2" s="699"/>
      <c r="S2" s="699"/>
      <c r="T2" s="647"/>
      <c r="V2" s="648"/>
      <c r="W2" s="648"/>
      <c r="X2" s="648"/>
      <c r="Y2" s="648"/>
      <c r="Z2" s="648"/>
      <c r="AA2" s="648"/>
      <c r="AB2" s="648"/>
      <c r="AC2" s="648"/>
      <c r="AD2" s="648"/>
      <c r="AE2" s="649"/>
      <c r="AF2" s="648"/>
    </row>
    <row r="3" spans="1:34" ht="1.5" customHeight="1" x14ac:dyDescent="0.25">
      <c r="V3" s="1"/>
      <c r="W3" s="1"/>
      <c r="X3" s="1"/>
      <c r="Y3" s="1"/>
      <c r="Z3" s="1"/>
      <c r="AA3" s="1"/>
      <c r="AB3" s="1"/>
      <c r="AC3" s="1"/>
      <c r="AD3" s="535"/>
      <c r="AE3" s="1"/>
      <c r="AF3" s="1"/>
    </row>
    <row r="4" spans="1:34" ht="16.5" hidden="1" x14ac:dyDescent="0.25">
      <c r="V4" s="1"/>
      <c r="W4" s="1"/>
      <c r="X4" s="1"/>
      <c r="Y4" s="1"/>
      <c r="Z4" s="1"/>
      <c r="AA4" s="1"/>
      <c r="AB4" s="1"/>
      <c r="AC4" s="1"/>
      <c r="AD4" s="535"/>
      <c r="AE4" s="1"/>
      <c r="AF4" s="1"/>
    </row>
    <row r="5" spans="1:34" ht="40.5" customHeight="1" x14ac:dyDescent="0.25">
      <c r="A5" s="700" t="s">
        <v>418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0"/>
      <c r="S5" s="700"/>
      <c r="T5" s="532"/>
      <c r="V5" s="1"/>
      <c r="W5" s="1"/>
      <c r="X5" s="1"/>
      <c r="Y5" s="1"/>
      <c r="Z5" s="1"/>
      <c r="AA5" s="1"/>
      <c r="AB5" s="1"/>
      <c r="AC5" s="1"/>
      <c r="AD5" s="535"/>
      <c r="AE5" s="1"/>
      <c r="AF5" s="1"/>
    </row>
    <row r="6" spans="1:34" ht="9.75" hidden="1" customHeight="1" x14ac:dyDescent="0.25">
      <c r="A6" s="306"/>
      <c r="B6" s="361"/>
      <c r="C6" s="361"/>
      <c r="D6" s="420"/>
      <c r="E6" s="306"/>
      <c r="F6" s="558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420"/>
      <c r="S6" s="306"/>
      <c r="T6" s="306"/>
      <c r="V6" s="1"/>
      <c r="W6" s="1"/>
      <c r="X6" s="1"/>
      <c r="Y6" s="1"/>
      <c r="Z6" s="1"/>
      <c r="AA6" s="1"/>
      <c r="AB6" s="1"/>
      <c r="AC6" s="1"/>
      <c r="AD6" s="535"/>
      <c r="AE6" s="1"/>
      <c r="AF6" s="1"/>
    </row>
    <row r="7" spans="1:34" ht="188.25" customHeight="1" x14ac:dyDescent="0.2">
      <c r="A7" s="548" t="s">
        <v>0</v>
      </c>
      <c r="B7" s="549" t="s">
        <v>374</v>
      </c>
      <c r="C7" s="307" t="s">
        <v>174</v>
      </c>
      <c r="D7" s="433" t="s">
        <v>298</v>
      </c>
      <c r="E7" s="308" t="s">
        <v>299</v>
      </c>
      <c r="F7" s="559" t="s">
        <v>300</v>
      </c>
      <c r="G7" s="309" t="s">
        <v>301</v>
      </c>
      <c r="H7" s="309" t="s">
        <v>302</v>
      </c>
      <c r="I7" s="308" t="s">
        <v>303</v>
      </c>
      <c r="J7" s="308" t="s">
        <v>398</v>
      </c>
      <c r="K7" s="309" t="s">
        <v>304</v>
      </c>
      <c r="L7" s="308" t="s">
        <v>305</v>
      </c>
      <c r="M7" s="308" t="s">
        <v>306</v>
      </c>
      <c r="N7" s="309" t="s">
        <v>307</v>
      </c>
      <c r="O7" s="308" t="s">
        <v>308</v>
      </c>
      <c r="P7" s="309" t="s">
        <v>309</v>
      </c>
      <c r="Q7" s="309" t="s">
        <v>310</v>
      </c>
      <c r="R7" s="421" t="s">
        <v>377</v>
      </c>
      <c r="S7" s="550" t="s">
        <v>328</v>
      </c>
      <c r="T7" s="551"/>
      <c r="V7" s="697" t="s">
        <v>390</v>
      </c>
      <c r="W7" s="697" t="s">
        <v>391</v>
      </c>
      <c r="X7" s="697" t="s">
        <v>392</v>
      </c>
      <c r="Y7" s="697" t="s">
        <v>389</v>
      </c>
      <c r="Z7" s="697" t="s">
        <v>393</v>
      </c>
      <c r="AA7" s="701" t="s">
        <v>394</v>
      </c>
      <c r="AB7" s="703" t="s">
        <v>395</v>
      </c>
      <c r="AC7" s="703" t="s">
        <v>396</v>
      </c>
      <c r="AD7" s="695" t="s">
        <v>399</v>
      </c>
      <c r="AE7" s="696" t="s">
        <v>397</v>
      </c>
      <c r="AF7" s="536"/>
    </row>
    <row r="8" spans="1:34" ht="18.75" customHeight="1" x14ac:dyDescent="0.2">
      <c r="A8" s="310">
        <v>1</v>
      </c>
      <c r="B8" s="338">
        <v>2</v>
      </c>
      <c r="C8" s="362">
        <v>3</v>
      </c>
      <c r="D8" s="434">
        <v>4</v>
      </c>
      <c r="E8" s="311">
        <v>5</v>
      </c>
      <c r="F8" s="560">
        <v>6</v>
      </c>
      <c r="G8" s="311">
        <v>7</v>
      </c>
      <c r="H8" s="311">
        <v>8</v>
      </c>
      <c r="I8" s="311">
        <v>9</v>
      </c>
      <c r="J8" s="311">
        <v>10</v>
      </c>
      <c r="K8" s="311">
        <v>11</v>
      </c>
      <c r="L8" s="311">
        <v>12</v>
      </c>
      <c r="M8" s="311">
        <v>13</v>
      </c>
      <c r="N8" s="311">
        <v>14</v>
      </c>
      <c r="O8" s="311">
        <v>15</v>
      </c>
      <c r="P8" s="311">
        <v>16</v>
      </c>
      <c r="Q8" s="311">
        <v>17</v>
      </c>
      <c r="R8" s="311" t="s">
        <v>378</v>
      </c>
      <c r="S8" s="484">
        <v>19</v>
      </c>
      <c r="T8" s="552"/>
      <c r="V8" s="697"/>
      <c r="W8" s="702"/>
      <c r="X8" s="697"/>
      <c r="Y8" s="697"/>
      <c r="Z8" s="697"/>
      <c r="AA8" s="702"/>
      <c r="AB8" s="703"/>
      <c r="AC8" s="703"/>
      <c r="AD8" s="695"/>
      <c r="AE8" s="696"/>
      <c r="AF8" s="536"/>
    </row>
    <row r="9" spans="1:34" ht="14.25" customHeight="1" x14ac:dyDescent="0.25">
      <c r="A9" s="310"/>
      <c r="B9" s="338"/>
      <c r="C9" s="362"/>
      <c r="D9" s="434"/>
      <c r="E9" s="311"/>
      <c r="F9" s="560"/>
      <c r="G9" s="485"/>
      <c r="H9" s="311"/>
      <c r="I9" s="486"/>
      <c r="J9" s="485"/>
      <c r="K9" s="486"/>
      <c r="L9" s="487">
        <v>0.59709999999999996</v>
      </c>
      <c r="M9" s="311"/>
      <c r="N9" s="311"/>
      <c r="O9" s="486"/>
      <c r="P9" s="311"/>
      <c r="Q9" s="311"/>
      <c r="R9" s="497">
        <v>0</v>
      </c>
      <c r="S9" s="484"/>
      <c r="T9" s="552"/>
      <c r="V9" s="537"/>
      <c r="W9" s="537"/>
      <c r="X9" s="537"/>
      <c r="Y9" s="537"/>
      <c r="Z9" s="537"/>
      <c r="AA9" s="537"/>
      <c r="AB9" s="537"/>
      <c r="AC9" s="537"/>
      <c r="AD9" s="538"/>
      <c r="AE9" s="539"/>
      <c r="AF9" s="536"/>
    </row>
    <row r="10" spans="1:34" ht="30" customHeight="1" x14ac:dyDescent="0.2">
      <c r="A10" s="347">
        <v>1</v>
      </c>
      <c r="B10" s="616" t="s">
        <v>311</v>
      </c>
      <c r="C10" s="707" t="s">
        <v>312</v>
      </c>
      <c r="D10" s="435">
        <f>40*60</f>
        <v>2400</v>
      </c>
      <c r="E10" s="312">
        <f>'Зарплата за минуту '!E11</f>
        <v>0.23760000000000001</v>
      </c>
      <c r="F10" s="351">
        <f t="shared" ref="F10:F17" si="0">ROUND(D10*E10,2)</f>
        <v>570.24</v>
      </c>
      <c r="G10" s="351">
        <f>ROUND(F10*'Дополнительная зп (2)'!E5,2)</f>
        <v>62.73</v>
      </c>
      <c r="H10" s="325">
        <f>ROUND(I10+J10+K10,2)</f>
        <v>241.16</v>
      </c>
      <c r="I10" s="498">
        <f>ROUND((F10+G10)*Взносы!B4,4)</f>
        <v>215.2098</v>
      </c>
      <c r="J10" s="314">
        <f>ROUND((F10+G10)*Взносы!$C4,4)</f>
        <v>0.63300000000000001</v>
      </c>
      <c r="K10" s="313">
        <f>ROUND((F10+G10)*Взносы!F4,4)</f>
        <v>25.3188</v>
      </c>
      <c r="L10" s="499">
        <f t="shared" ref="L10:L18" si="1">ROUND((F10+G10)*L$9,2)</f>
        <v>377.95</v>
      </c>
      <c r="M10" s="325"/>
      <c r="N10" s="351">
        <f>F10+G10+H10+L10+M10</f>
        <v>1252.08</v>
      </c>
      <c r="O10" s="444">
        <v>0.29864000000000002</v>
      </c>
      <c r="P10" s="351">
        <f>ROUND(N10*O10,2)</f>
        <v>373.92</v>
      </c>
      <c r="Q10" s="454">
        <f t="shared" ref="Q10:Q18" si="2">N10+P10</f>
        <v>1626</v>
      </c>
      <c r="R10" s="422">
        <f>ROUND(Q10*R$9,2)</f>
        <v>0</v>
      </c>
      <c r="S10" s="370">
        <f>ROUND(SUM(Q10:R10),2)</f>
        <v>1626</v>
      </c>
      <c r="T10" s="553"/>
      <c r="U10" s="337" t="s">
        <v>313</v>
      </c>
      <c r="V10" s="540">
        <f t="shared" ref="V10:V18" si="3">F10+G10</f>
        <v>632.97</v>
      </c>
      <c r="W10" s="540">
        <f>H10</f>
        <v>241.16</v>
      </c>
      <c r="X10" s="540"/>
      <c r="Y10" s="540">
        <f t="shared" ref="Y10:Y18" si="4">F10*0.55</f>
        <v>313.63200000000001</v>
      </c>
      <c r="Z10" s="540">
        <f t="shared" ref="Z10:Z17" si="5">F10*0.35</f>
        <v>199.584</v>
      </c>
      <c r="AA10" s="540">
        <f>AE10*34.1%</f>
        <v>0</v>
      </c>
      <c r="AB10" s="540">
        <f>SUM(V10:AA10)</f>
        <v>1387.346</v>
      </c>
      <c r="AC10" s="540">
        <f t="shared" ref="AC10:AC18" si="6">(S10-AB10)*20%</f>
        <v>47.730800000000002</v>
      </c>
      <c r="AD10" s="541">
        <f t="shared" ref="AD10:AD18" si="7">S10-AB10-AC10</f>
        <v>190.92320000000001</v>
      </c>
      <c r="AE10" s="540"/>
      <c r="AF10" s="544">
        <f>AE10/AD10</f>
        <v>0</v>
      </c>
      <c r="AH10" s="533"/>
    </row>
    <row r="11" spans="1:34" ht="83.25" customHeight="1" x14ac:dyDescent="0.2">
      <c r="A11" s="348">
        <v>2</v>
      </c>
      <c r="B11" s="617" t="s">
        <v>315</v>
      </c>
      <c r="C11" s="708"/>
      <c r="D11" s="436">
        <f>(7.7*5*60)*0+40*60</f>
        <v>2400</v>
      </c>
      <c r="E11" s="319">
        <f>'Зарплата за минуту '!E11</f>
        <v>0.23760000000000001</v>
      </c>
      <c r="F11" s="352">
        <f t="shared" si="0"/>
        <v>570.24</v>
      </c>
      <c r="G11" s="352">
        <f>ROUND(F11*'Дополнительная зп (2)'!E6,2)</f>
        <v>62.73</v>
      </c>
      <c r="H11" s="327">
        <f t="shared" ref="H11:H18" si="8">ROUND(I11+J11+K11,2)</f>
        <v>241.16</v>
      </c>
      <c r="I11" s="500">
        <f>ROUND((F11+G11)*Взносы!B4,4)</f>
        <v>215.2098</v>
      </c>
      <c r="J11" s="321">
        <f>ROUND((F11+G11)*Взносы!C$4,4)</f>
        <v>0.63300000000000001</v>
      </c>
      <c r="K11" s="320">
        <f>ROUND((F11+G11)*Взносы!F4,4)</f>
        <v>25.3188</v>
      </c>
      <c r="L11" s="501">
        <f t="shared" si="1"/>
        <v>377.95</v>
      </c>
      <c r="M11" s="327"/>
      <c r="N11" s="327">
        <f t="shared" ref="N11:N18" si="9">F11+G11+H11+L11+M11</f>
        <v>1252.08</v>
      </c>
      <c r="O11" s="445">
        <v>0.29864000000000002</v>
      </c>
      <c r="P11" s="327">
        <f t="shared" ref="P11:P60" si="10">ROUND(N11*O11,2)</f>
        <v>373.92</v>
      </c>
      <c r="Q11" s="349">
        <f t="shared" si="2"/>
        <v>1626</v>
      </c>
      <c r="R11" s="423">
        <f>ROUND(Q11*R$9,2)</f>
        <v>0</v>
      </c>
      <c r="S11" s="350">
        <f>ROUND(SUM(Q11:R11),2)</f>
        <v>1626</v>
      </c>
      <c r="T11" s="554"/>
      <c r="U11" s="337" t="s">
        <v>313</v>
      </c>
      <c r="V11" s="540">
        <f t="shared" si="3"/>
        <v>632.97</v>
      </c>
      <c r="W11" s="540">
        <f t="shared" ref="W11:W60" si="11">H11</f>
        <v>241.16</v>
      </c>
      <c r="X11" s="540"/>
      <c r="Y11" s="540">
        <f t="shared" si="4"/>
        <v>313.63200000000001</v>
      </c>
      <c r="Z11" s="540">
        <f t="shared" si="5"/>
        <v>199.584</v>
      </c>
      <c r="AA11" s="540">
        <f>AE11*34.1%</f>
        <v>0</v>
      </c>
      <c r="AB11" s="540">
        <f t="shared" ref="AB11:AB60" si="12">SUM(V11:AA11)</f>
        <v>1387.346</v>
      </c>
      <c r="AC11" s="540">
        <f t="shared" si="6"/>
        <v>47.730800000000002</v>
      </c>
      <c r="AD11" s="541">
        <f t="shared" si="7"/>
        <v>190.92320000000001</v>
      </c>
      <c r="AE11" s="546"/>
      <c r="AF11" s="543">
        <f t="shared" ref="AF11:AF16" si="13">AE11/AD11</f>
        <v>0</v>
      </c>
      <c r="AH11" s="533"/>
    </row>
    <row r="12" spans="1:34" ht="43.5" customHeight="1" x14ac:dyDescent="0.2">
      <c r="A12" s="347">
        <v>3</v>
      </c>
      <c r="B12" s="616" t="s">
        <v>321</v>
      </c>
      <c r="C12" s="687" t="s">
        <v>320</v>
      </c>
      <c r="D12" s="435">
        <f>(7.7*5*60)*0+40*60</f>
        <v>2400</v>
      </c>
      <c r="E12" s="312">
        <f>'Зарплата за минуту '!AB12</f>
        <v>0.23760000000000001</v>
      </c>
      <c r="F12" s="351">
        <f t="shared" si="0"/>
        <v>570.24</v>
      </c>
      <c r="G12" s="351">
        <f>ROUND(F12*'Дополнительная зп (2)'!E6,2)</f>
        <v>62.73</v>
      </c>
      <c r="H12" s="325">
        <f t="shared" si="8"/>
        <v>241.16</v>
      </c>
      <c r="I12" s="498">
        <f>ROUND((F12+G12)*Взносы!$B$4,4)</f>
        <v>215.2098</v>
      </c>
      <c r="J12" s="314">
        <f>ROUND((F12+G12)*Взносы!$C$4,4)</f>
        <v>0.63300000000000001</v>
      </c>
      <c r="K12" s="313">
        <f>ROUND((F12+G12)*Взносы!F$4,4)</f>
        <v>25.3188</v>
      </c>
      <c r="L12" s="499">
        <f t="shared" si="1"/>
        <v>377.95</v>
      </c>
      <c r="M12" s="325"/>
      <c r="N12" s="325">
        <f t="shared" si="9"/>
        <v>1252.08</v>
      </c>
      <c r="O12" s="444">
        <v>0.29864000000000002</v>
      </c>
      <c r="P12" s="325">
        <f t="shared" si="10"/>
        <v>373.92</v>
      </c>
      <c r="Q12" s="340">
        <f t="shared" si="2"/>
        <v>1626</v>
      </c>
      <c r="R12" s="422">
        <f t="shared" ref="R12:R47" si="14">ROUND(Q12*R$9,2)</f>
        <v>0</v>
      </c>
      <c r="S12" s="370">
        <f t="shared" ref="S12:S18" si="15">ROUND(SUM(Q12:R12),2)</f>
        <v>1626</v>
      </c>
      <c r="T12" s="553"/>
      <c r="U12" s="337" t="s">
        <v>163</v>
      </c>
      <c r="V12" s="540">
        <f t="shared" si="3"/>
        <v>632.97</v>
      </c>
      <c r="W12" s="540">
        <f t="shared" si="11"/>
        <v>241.16</v>
      </c>
      <c r="X12" s="540"/>
      <c r="Y12" s="540">
        <f t="shared" si="4"/>
        <v>313.63200000000001</v>
      </c>
      <c r="Z12" s="540">
        <f t="shared" si="5"/>
        <v>199.584</v>
      </c>
      <c r="AA12" s="540">
        <f t="shared" ref="AA12:AA60" si="16">AE12*34.1%</f>
        <v>0</v>
      </c>
      <c r="AB12" s="540">
        <f t="shared" si="12"/>
        <v>1387.346</v>
      </c>
      <c r="AC12" s="540">
        <f t="shared" si="6"/>
        <v>47.730800000000002</v>
      </c>
      <c r="AD12" s="541">
        <f t="shared" si="7"/>
        <v>190.92320000000001</v>
      </c>
      <c r="AE12" s="546"/>
      <c r="AF12" s="543">
        <f t="shared" si="13"/>
        <v>0</v>
      </c>
      <c r="AH12" s="533"/>
    </row>
    <row r="13" spans="1:34" ht="43.5" customHeight="1" x14ac:dyDescent="0.2">
      <c r="A13" s="348">
        <v>4</v>
      </c>
      <c r="B13" s="617" t="s">
        <v>322</v>
      </c>
      <c r="C13" s="688"/>
      <c r="D13" s="436">
        <f>(7.7*5*60)*0+40*60</f>
        <v>2400</v>
      </c>
      <c r="E13" s="319">
        <f>'Зарплата за минуту '!E12</f>
        <v>0.23760000000000001</v>
      </c>
      <c r="F13" s="352">
        <f t="shared" si="0"/>
        <v>570.24</v>
      </c>
      <c r="G13" s="352">
        <f>ROUND(F13*'Дополнительная зп (2)'!E6,2)</f>
        <v>62.73</v>
      </c>
      <c r="H13" s="327">
        <f t="shared" si="8"/>
        <v>241.16</v>
      </c>
      <c r="I13" s="500">
        <f>ROUND((F13+G13)*Взносы!$B$4,4)</f>
        <v>215.2098</v>
      </c>
      <c r="J13" s="321">
        <f>ROUND((F13+G13)*Взносы!$C$4,4)</f>
        <v>0.63300000000000001</v>
      </c>
      <c r="K13" s="320">
        <f>ROUND((F13+G13)*Взносы!F$4,4)</f>
        <v>25.3188</v>
      </c>
      <c r="L13" s="501">
        <f t="shared" si="1"/>
        <v>377.95</v>
      </c>
      <c r="M13" s="327"/>
      <c r="N13" s="327">
        <f t="shared" si="9"/>
        <v>1252.08</v>
      </c>
      <c r="O13" s="445">
        <v>0.29864000000000002</v>
      </c>
      <c r="P13" s="327">
        <f t="shared" si="10"/>
        <v>373.92</v>
      </c>
      <c r="Q13" s="349">
        <f t="shared" si="2"/>
        <v>1626</v>
      </c>
      <c r="R13" s="423">
        <f t="shared" si="14"/>
        <v>0</v>
      </c>
      <c r="S13" s="350">
        <f t="shared" si="15"/>
        <v>1626</v>
      </c>
      <c r="T13" s="554"/>
      <c r="U13" s="337" t="s">
        <v>163</v>
      </c>
      <c r="V13" s="540">
        <f t="shared" si="3"/>
        <v>632.97</v>
      </c>
      <c r="W13" s="540">
        <f t="shared" si="11"/>
        <v>241.16</v>
      </c>
      <c r="X13" s="540"/>
      <c r="Y13" s="540">
        <f t="shared" si="4"/>
        <v>313.63200000000001</v>
      </c>
      <c r="Z13" s="540">
        <f t="shared" si="5"/>
        <v>199.584</v>
      </c>
      <c r="AA13" s="540">
        <f t="shared" si="16"/>
        <v>0</v>
      </c>
      <c r="AB13" s="540">
        <f t="shared" si="12"/>
        <v>1387.346</v>
      </c>
      <c r="AC13" s="540">
        <f t="shared" si="6"/>
        <v>47.730800000000002</v>
      </c>
      <c r="AD13" s="541">
        <f t="shared" si="7"/>
        <v>190.92320000000001</v>
      </c>
      <c r="AE13" s="546"/>
      <c r="AF13" s="543">
        <f t="shared" si="13"/>
        <v>0</v>
      </c>
      <c r="AH13" s="533"/>
    </row>
    <row r="14" spans="1:34" s="578" customFormat="1" ht="82.5" customHeight="1" x14ac:dyDescent="0.2">
      <c r="A14" s="584">
        <v>5</v>
      </c>
      <c r="B14" s="611" t="s">
        <v>400</v>
      </c>
      <c r="C14" s="709" t="s">
        <v>320</v>
      </c>
      <c r="D14" s="435">
        <f>(7.7*5*60)*0+40*60</f>
        <v>2400</v>
      </c>
      <c r="E14" s="585">
        <f>'Зарплата за минуту '!AB12</f>
        <v>0.23760000000000001</v>
      </c>
      <c r="F14" s="586">
        <f t="shared" ref="F14:F15" si="17">ROUND(D14*E14,2)</f>
        <v>570.24</v>
      </c>
      <c r="G14" s="586">
        <f>ROUND(F14*'Дополнительная зп (2)'!E6,2)</f>
        <v>62.73</v>
      </c>
      <c r="H14" s="313">
        <f t="shared" ref="H14:H15" si="18">ROUND(I14+J14+K14,2)</f>
        <v>241.16</v>
      </c>
      <c r="I14" s="498">
        <f>ROUND((F14+G14)*Взносы!$B$4,4)</f>
        <v>215.2098</v>
      </c>
      <c r="J14" s="314">
        <f>ROUND((F14+G14)*Взносы!$C$4,4)</f>
        <v>0.63300000000000001</v>
      </c>
      <c r="K14" s="313">
        <f>ROUND((F14+G14)*Взносы!F$4,4)</f>
        <v>25.3188</v>
      </c>
      <c r="L14" s="587">
        <f t="shared" ref="L14:L15" si="19">ROUND((F14+G14)*L$9,2)</f>
        <v>377.95</v>
      </c>
      <c r="M14" s="313"/>
      <c r="N14" s="313">
        <f t="shared" ref="N14:N15" si="20">F14+G14+H14+L14+M14</f>
        <v>1252.08</v>
      </c>
      <c r="O14" s="588">
        <v>0.29864000000000002</v>
      </c>
      <c r="P14" s="313">
        <f t="shared" ref="P14:P15" si="21">ROUND(N14*O14,2)</f>
        <v>373.92</v>
      </c>
      <c r="Q14" s="425">
        <f t="shared" ref="Q14:Q15" si="22">N14+P14</f>
        <v>1626</v>
      </c>
      <c r="R14" s="422">
        <f t="shared" ref="R14:R15" si="23">ROUND(Q14*R$9,2)</f>
        <v>0</v>
      </c>
      <c r="S14" s="589">
        <f t="shared" ref="S14:S15" si="24">ROUND(SUM(Q14:R14),2)</f>
        <v>1626</v>
      </c>
      <c r="T14" s="590"/>
      <c r="U14" s="571" t="s">
        <v>323</v>
      </c>
      <c r="V14" s="572">
        <f t="shared" si="3"/>
        <v>632.97</v>
      </c>
      <c r="W14" s="572">
        <f t="shared" si="11"/>
        <v>241.16</v>
      </c>
      <c r="X14" s="572"/>
      <c r="Y14" s="572">
        <f t="shared" si="4"/>
        <v>313.63200000000001</v>
      </c>
      <c r="Z14" s="572">
        <f t="shared" si="5"/>
        <v>199.584</v>
      </c>
      <c r="AA14" s="572">
        <f t="shared" si="16"/>
        <v>0</v>
      </c>
      <c r="AB14" s="572">
        <f t="shared" si="12"/>
        <v>1387.346</v>
      </c>
      <c r="AC14" s="572">
        <f t="shared" si="6"/>
        <v>47.730800000000002</v>
      </c>
      <c r="AD14" s="573">
        <f t="shared" si="7"/>
        <v>190.92320000000001</v>
      </c>
      <c r="AE14" s="580"/>
      <c r="AF14" s="577">
        <f t="shared" si="13"/>
        <v>0</v>
      </c>
      <c r="AH14" s="579"/>
    </row>
    <row r="15" spans="1:34" s="578" customFormat="1" ht="33.75" customHeight="1" x14ac:dyDescent="0.2">
      <c r="A15" s="591">
        <v>6</v>
      </c>
      <c r="B15" s="612" t="s">
        <v>324</v>
      </c>
      <c r="C15" s="710"/>
      <c r="D15" s="436">
        <f>(7.7*5*60)*0+40*60</f>
        <v>2400</v>
      </c>
      <c r="E15" s="585">
        <f>'Зарплата за минуту '!AB12</f>
        <v>0.23760000000000001</v>
      </c>
      <c r="F15" s="586">
        <f t="shared" si="17"/>
        <v>570.24</v>
      </c>
      <c r="G15" s="586">
        <f>ROUND(F15*'Дополнительная зп (2)'!E6,2)</f>
        <v>62.73</v>
      </c>
      <c r="H15" s="313">
        <f t="shared" si="18"/>
        <v>241.16</v>
      </c>
      <c r="I15" s="498">
        <f>ROUND((F15+G15)*Взносы!$B$4,4)</f>
        <v>215.2098</v>
      </c>
      <c r="J15" s="314">
        <f>ROUND((F15+G15)*Взносы!$C$4,4)</f>
        <v>0.63300000000000001</v>
      </c>
      <c r="K15" s="313">
        <f>ROUND((F15+G15)*Взносы!F$4,4)</f>
        <v>25.3188</v>
      </c>
      <c r="L15" s="587">
        <f t="shared" si="19"/>
        <v>377.95</v>
      </c>
      <c r="M15" s="313"/>
      <c r="N15" s="313">
        <f t="shared" si="20"/>
        <v>1252.08</v>
      </c>
      <c r="O15" s="588">
        <v>0.29864000000000002</v>
      </c>
      <c r="P15" s="313">
        <f t="shared" si="21"/>
        <v>373.92</v>
      </c>
      <c r="Q15" s="425">
        <f t="shared" si="22"/>
        <v>1626</v>
      </c>
      <c r="R15" s="422">
        <f t="shared" si="23"/>
        <v>0</v>
      </c>
      <c r="S15" s="589">
        <f t="shared" si="24"/>
        <v>1626</v>
      </c>
      <c r="T15" s="592"/>
      <c r="U15" s="571" t="s">
        <v>323</v>
      </c>
      <c r="V15" s="572">
        <f t="shared" si="3"/>
        <v>632.97</v>
      </c>
      <c r="W15" s="572">
        <f t="shared" si="11"/>
        <v>241.16</v>
      </c>
      <c r="X15" s="572"/>
      <c r="Y15" s="572">
        <f t="shared" si="4"/>
        <v>313.63200000000001</v>
      </c>
      <c r="Z15" s="572">
        <f t="shared" si="5"/>
        <v>199.584</v>
      </c>
      <c r="AA15" s="572">
        <f t="shared" si="16"/>
        <v>0</v>
      </c>
      <c r="AB15" s="572">
        <f t="shared" si="12"/>
        <v>1387.346</v>
      </c>
      <c r="AC15" s="572">
        <f t="shared" si="6"/>
        <v>47.730800000000002</v>
      </c>
      <c r="AD15" s="573">
        <f t="shared" si="7"/>
        <v>190.92320000000001</v>
      </c>
      <c r="AE15" s="580"/>
      <c r="AF15" s="577">
        <f t="shared" si="13"/>
        <v>0</v>
      </c>
      <c r="AH15" s="579"/>
    </row>
    <row r="16" spans="1:34" ht="43.5" customHeight="1" x14ac:dyDescent="0.2">
      <c r="A16" s="513">
        <v>7</v>
      </c>
      <c r="B16" s="615" t="s">
        <v>401</v>
      </c>
      <c r="C16" s="514" t="s">
        <v>40</v>
      </c>
      <c r="D16" s="515">
        <f>40*60</f>
        <v>2400</v>
      </c>
      <c r="E16" s="516">
        <f>'Зарплата за минуту '!AB14</f>
        <v>0.23760000000000001</v>
      </c>
      <c r="F16" s="517">
        <f t="shared" si="0"/>
        <v>570.24</v>
      </c>
      <c r="G16" s="517">
        <f>ROUND(F16*'Дополнительная зп (2)'!E8,2)</f>
        <v>62.73</v>
      </c>
      <c r="H16" s="518">
        <f t="shared" si="8"/>
        <v>241.16</v>
      </c>
      <c r="I16" s="519">
        <f>ROUND((F16+G16)*Взносы!$B$4,4)</f>
        <v>215.2098</v>
      </c>
      <c r="J16" s="520">
        <f>ROUND((F16+G16)*Взносы!$C$4,4)</f>
        <v>0.63300000000000001</v>
      </c>
      <c r="K16" s="521">
        <f>ROUND((F16+G16)*Взносы!F$4,4)</f>
        <v>25.3188</v>
      </c>
      <c r="L16" s="522">
        <f t="shared" si="1"/>
        <v>377.95</v>
      </c>
      <c r="M16" s="518"/>
      <c r="N16" s="518">
        <f t="shared" si="9"/>
        <v>1252.08</v>
      </c>
      <c r="O16" s="523">
        <v>0.29864000000000002</v>
      </c>
      <c r="P16" s="518">
        <f t="shared" si="10"/>
        <v>373.92</v>
      </c>
      <c r="Q16" s="524">
        <f t="shared" si="2"/>
        <v>1626</v>
      </c>
      <c r="R16" s="525">
        <f t="shared" si="14"/>
        <v>0</v>
      </c>
      <c r="S16" s="526">
        <f t="shared" si="15"/>
        <v>1626</v>
      </c>
      <c r="T16" s="553"/>
      <c r="U16" s="337" t="s">
        <v>164</v>
      </c>
      <c r="V16" s="540">
        <f t="shared" si="3"/>
        <v>632.97</v>
      </c>
      <c r="W16" s="540">
        <f t="shared" si="11"/>
        <v>241.16</v>
      </c>
      <c r="X16" s="540"/>
      <c r="Y16" s="540">
        <f t="shared" si="4"/>
        <v>313.63200000000001</v>
      </c>
      <c r="Z16" s="540">
        <f t="shared" si="5"/>
        <v>199.584</v>
      </c>
      <c r="AA16" s="540">
        <f t="shared" si="16"/>
        <v>0</v>
      </c>
      <c r="AB16" s="540">
        <f t="shared" si="12"/>
        <v>1387.346</v>
      </c>
      <c r="AC16" s="540">
        <f t="shared" si="6"/>
        <v>47.730800000000002</v>
      </c>
      <c r="AD16" s="541">
        <f t="shared" si="7"/>
        <v>190.92320000000001</v>
      </c>
      <c r="AE16" s="547"/>
      <c r="AF16" s="543">
        <f t="shared" si="13"/>
        <v>0</v>
      </c>
      <c r="AH16" s="533"/>
    </row>
    <row r="17" spans="1:34" s="430" customFormat="1" ht="27.75" customHeight="1" x14ac:dyDescent="0.2">
      <c r="A17" s="593">
        <v>8</v>
      </c>
      <c r="B17" s="594" t="s">
        <v>325</v>
      </c>
      <c r="C17" s="595" t="s">
        <v>27</v>
      </c>
      <c r="D17" s="437">
        <f>40*60</f>
        <v>2400</v>
      </c>
      <c r="E17" s="596">
        <f>'Зарплата за минуту '!AB15</f>
        <v>0.22140000000000001</v>
      </c>
      <c r="F17" s="597">
        <f t="shared" si="0"/>
        <v>531.36</v>
      </c>
      <c r="G17" s="597">
        <f>ROUND(F17*'Дополнительная зп (2)'!E9,2)</f>
        <v>58.45</v>
      </c>
      <c r="H17" s="360">
        <f t="shared" si="8"/>
        <v>236.51</v>
      </c>
      <c r="I17" s="502">
        <f>ROUND((F17+G17)*Взносы!$B$4,4)</f>
        <v>200.53540000000001</v>
      </c>
      <c r="J17" s="359">
        <f>ROUND((F17+G17)*Взносы!$C$4,4)</f>
        <v>0.58979999999999999</v>
      </c>
      <c r="K17" s="360">
        <f>ROUND((F17+G17)*Взносы!E$4,4)</f>
        <v>35.388599999999997</v>
      </c>
      <c r="L17" s="598">
        <f t="shared" si="1"/>
        <v>352.18</v>
      </c>
      <c r="M17" s="360"/>
      <c r="N17" s="597">
        <f t="shared" si="9"/>
        <v>1178.5</v>
      </c>
      <c r="O17" s="599">
        <v>0.29826000000000003</v>
      </c>
      <c r="P17" s="597">
        <f t="shared" si="10"/>
        <v>351.5</v>
      </c>
      <c r="Q17" s="424">
        <f t="shared" si="2"/>
        <v>1530</v>
      </c>
      <c r="R17" s="527">
        <f t="shared" si="14"/>
        <v>0</v>
      </c>
      <c r="S17" s="600">
        <f t="shared" si="15"/>
        <v>1530</v>
      </c>
      <c r="T17" s="592"/>
      <c r="U17" s="571" t="s">
        <v>146</v>
      </c>
      <c r="V17" s="572">
        <f t="shared" si="3"/>
        <v>589.81000000000006</v>
      </c>
      <c r="W17" s="572">
        <f t="shared" si="11"/>
        <v>236.51</v>
      </c>
      <c r="X17" s="572"/>
      <c r="Y17" s="572">
        <f t="shared" si="4"/>
        <v>292.24800000000005</v>
      </c>
      <c r="Z17" s="572">
        <f t="shared" si="5"/>
        <v>185.976</v>
      </c>
      <c r="AA17" s="572">
        <f t="shared" si="16"/>
        <v>0</v>
      </c>
      <c r="AB17" s="572">
        <f t="shared" si="12"/>
        <v>1304.5440000000003</v>
      </c>
      <c r="AC17" s="572">
        <f t="shared" si="6"/>
        <v>45.091199999999937</v>
      </c>
      <c r="AD17" s="573">
        <f t="shared" si="7"/>
        <v>180.36479999999975</v>
      </c>
      <c r="AE17" s="574"/>
      <c r="AF17" s="575">
        <f>AE17/AD17</f>
        <v>0</v>
      </c>
      <c r="AH17" s="576"/>
    </row>
    <row r="18" spans="1:34" ht="57" customHeight="1" x14ac:dyDescent="0.2">
      <c r="A18" s="354">
        <v>9</v>
      </c>
      <c r="B18" s="355" t="s">
        <v>326</v>
      </c>
      <c r="C18" s="488" t="s">
        <v>212</v>
      </c>
      <c r="D18" s="437">
        <f>80*60</f>
        <v>4800</v>
      </c>
      <c r="E18" s="356">
        <f>'Зарплата за минуту '!AB16</f>
        <v>0.21879999999999999</v>
      </c>
      <c r="F18" s="357">
        <f>ROUND(D18*E18,2)</f>
        <v>1050.24</v>
      </c>
      <c r="G18" s="357">
        <f>ROUND(F18*'Дополнительная зп (2)'!E10,2)</f>
        <v>115.53</v>
      </c>
      <c r="H18" s="358">
        <f t="shared" si="8"/>
        <v>444.16</v>
      </c>
      <c r="I18" s="502">
        <f>ROUND((F18+G18)*Взносы!$B$4,4)</f>
        <v>396.36180000000002</v>
      </c>
      <c r="J18" s="359">
        <f>ROUND((F18+G18)*Взносы!$C$4,4)</f>
        <v>1.1657999999999999</v>
      </c>
      <c r="K18" s="360">
        <f>ROUND((F18+G18)*Взносы!F$4,4)</f>
        <v>46.630800000000001</v>
      </c>
      <c r="L18" s="503">
        <f t="shared" si="1"/>
        <v>696.08</v>
      </c>
      <c r="M18" s="358"/>
      <c r="N18" s="358">
        <f t="shared" si="9"/>
        <v>2306.0100000000002</v>
      </c>
      <c r="O18" s="446">
        <v>0.29964600000000002</v>
      </c>
      <c r="P18" s="358">
        <f t="shared" si="10"/>
        <v>690.99</v>
      </c>
      <c r="Q18" s="363">
        <f t="shared" si="2"/>
        <v>2997</v>
      </c>
      <c r="R18" s="424">
        <f t="shared" si="14"/>
        <v>0</v>
      </c>
      <c r="S18" s="371">
        <f t="shared" si="15"/>
        <v>2997</v>
      </c>
      <c r="T18" s="553"/>
      <c r="U18" s="337" t="s">
        <v>327</v>
      </c>
      <c r="V18" s="540">
        <f t="shared" si="3"/>
        <v>1165.77</v>
      </c>
      <c r="W18" s="540">
        <f t="shared" si="11"/>
        <v>444.16</v>
      </c>
      <c r="X18" s="540"/>
      <c r="Y18" s="540">
        <f t="shared" si="4"/>
        <v>577.63200000000006</v>
      </c>
      <c r="Z18" s="540">
        <f>F18*0.45</f>
        <v>472.608</v>
      </c>
      <c r="AA18" s="540">
        <f t="shared" si="16"/>
        <v>0</v>
      </c>
      <c r="AB18" s="540">
        <f t="shared" si="12"/>
        <v>2660.17</v>
      </c>
      <c r="AC18" s="540">
        <f t="shared" si="6"/>
        <v>67.365999999999985</v>
      </c>
      <c r="AD18" s="541">
        <f t="shared" si="7"/>
        <v>269.46399999999994</v>
      </c>
      <c r="AE18" s="542"/>
      <c r="AF18" s="543">
        <f>AE18/AD18</f>
        <v>0</v>
      </c>
      <c r="AH18" s="533"/>
    </row>
    <row r="19" spans="1:34" s="372" customFormat="1" ht="15" hidden="1" x14ac:dyDescent="0.2">
      <c r="A19" s="704" t="s">
        <v>329</v>
      </c>
      <c r="B19" s="705"/>
      <c r="C19" s="705"/>
      <c r="D19" s="705"/>
      <c r="E19" s="705"/>
      <c r="F19" s="705"/>
      <c r="G19" s="705"/>
      <c r="H19" s="705"/>
      <c r="I19" s="705"/>
      <c r="J19" s="705"/>
      <c r="K19" s="705"/>
      <c r="L19" s="705"/>
      <c r="M19" s="705"/>
      <c r="N19" s="705"/>
      <c r="O19" s="705"/>
      <c r="P19" s="705">
        <f t="shared" si="10"/>
        <v>0</v>
      </c>
      <c r="Q19" s="705"/>
      <c r="R19" s="706">
        <f t="shared" si="14"/>
        <v>0</v>
      </c>
      <c r="S19" s="389">
        <f>SUM(S10:S18)</f>
        <v>15909</v>
      </c>
      <c r="T19" s="555"/>
      <c r="U19" s="431"/>
      <c r="V19" s="540"/>
      <c r="W19" s="540"/>
      <c r="X19" s="540"/>
      <c r="Y19" s="540"/>
      <c r="Z19" s="540"/>
      <c r="AA19" s="540">
        <f t="shared" si="16"/>
        <v>0</v>
      </c>
      <c r="AB19" s="540"/>
      <c r="AC19" s="540"/>
      <c r="AD19" s="541"/>
      <c r="AE19" s="542"/>
      <c r="AF19" s="543"/>
      <c r="AH19" s="533"/>
    </row>
    <row r="20" spans="1:34" ht="42" customHeight="1" x14ac:dyDescent="0.2">
      <c r="A20" s="711">
        <v>10</v>
      </c>
      <c r="B20" s="683" t="s">
        <v>330</v>
      </c>
      <c r="C20" s="489" t="s">
        <v>215</v>
      </c>
      <c r="D20" s="435">
        <f>8*60</f>
        <v>480</v>
      </c>
      <c r="E20" s="312">
        <f>'Зарплата за минуту '!AB18</f>
        <v>0.20019999999999999</v>
      </c>
      <c r="F20" s="351">
        <f t="shared" ref="F20:F21" si="25">D20*E20</f>
        <v>96.095999999999989</v>
      </c>
      <c r="G20" s="351">
        <f>ROUND(F20*'Дополнительная зп (2)'!E12,2)</f>
        <v>7.69</v>
      </c>
      <c r="H20" s="325">
        <f t="shared" ref="H20:H21" si="26">I20+J20+K20</f>
        <v>35.390999999999998</v>
      </c>
      <c r="I20" s="325">
        <f>ROUND((F20+G20)*Взносы!$B$4,4)</f>
        <v>35.287199999999999</v>
      </c>
      <c r="J20" s="325">
        <f>ROUND((F20+G20)*Взносы!$C$4,4)</f>
        <v>0.1038</v>
      </c>
      <c r="K20" s="325">
        <v>0</v>
      </c>
      <c r="L20" s="325">
        <f t="shared" ref="L20:L21" si="27">ROUND((F20+G20)*L$9,2)</f>
        <v>61.97</v>
      </c>
      <c r="M20" s="325"/>
      <c r="N20" s="325">
        <f t="shared" ref="N20:N21" si="28">F20+G20+H20+L20+M20</f>
        <v>201.14699999999999</v>
      </c>
      <c r="O20" s="444">
        <v>0.29752000000000001</v>
      </c>
      <c r="P20" s="325">
        <f t="shared" si="10"/>
        <v>59.85</v>
      </c>
      <c r="Q20" s="325">
        <f>N20+P20</f>
        <v>260.99700000000001</v>
      </c>
      <c r="R20" s="313">
        <f t="shared" si="14"/>
        <v>0</v>
      </c>
      <c r="S20" s="326">
        <f t="shared" ref="S20:S21" si="29">ROUND(SUM(Q20:R20),2)</f>
        <v>261</v>
      </c>
      <c r="T20" s="556"/>
      <c r="U20" s="337" t="s">
        <v>331</v>
      </c>
      <c r="V20" s="540">
        <f t="shared" ref="V20:V25" si="30">F20+G20</f>
        <v>103.78599999999999</v>
      </c>
      <c r="W20" s="540">
        <f t="shared" si="11"/>
        <v>35.390999999999998</v>
      </c>
      <c r="X20" s="540"/>
      <c r="Y20" s="540">
        <f t="shared" ref="Y20:Y25" si="31">F20*0.55</f>
        <v>52.852800000000002</v>
      </c>
      <c r="Z20" s="540">
        <f t="shared" ref="Z20:Z25" si="32">F20*0.35</f>
        <v>33.633599999999994</v>
      </c>
      <c r="AA20" s="540">
        <f t="shared" si="16"/>
        <v>0</v>
      </c>
      <c r="AB20" s="540">
        <f t="shared" si="12"/>
        <v>225.6634</v>
      </c>
      <c r="AC20" s="540">
        <f t="shared" ref="AC20:AC25" si="33">(S20-AB20)*20%</f>
        <v>7.0673200000000014</v>
      </c>
      <c r="AD20" s="541">
        <f t="shared" ref="AD20:AD25" si="34">S20-AB20-AC20</f>
        <v>28.269280000000002</v>
      </c>
      <c r="AE20" s="542"/>
      <c r="AF20" s="543">
        <f>AE20/AD20</f>
        <v>0</v>
      </c>
      <c r="AH20" s="533"/>
    </row>
    <row r="21" spans="1:34" ht="26.25" customHeight="1" x14ac:dyDescent="0.2">
      <c r="A21" s="712"/>
      <c r="B21" s="686"/>
      <c r="C21" s="490" t="s">
        <v>217</v>
      </c>
      <c r="D21" s="438">
        <f>8*60</f>
        <v>480</v>
      </c>
      <c r="E21" s="319">
        <f>'Зарплата за минуту '!AB19</f>
        <v>0.1996</v>
      </c>
      <c r="F21" s="352">
        <f t="shared" si="25"/>
        <v>95.807999999999993</v>
      </c>
      <c r="G21" s="352">
        <f>ROUND(F21*'Дополнительная зп (2)'!E13,2)</f>
        <v>7.66</v>
      </c>
      <c r="H21" s="327">
        <f t="shared" si="26"/>
        <v>35.282599999999995</v>
      </c>
      <c r="I21" s="327">
        <f>ROUND((F21+G21)*Взносы!$B$4,4)</f>
        <v>35.179099999999998</v>
      </c>
      <c r="J21" s="327">
        <f>ROUND((F21+G21)*Взносы!$C$4,4)</f>
        <v>0.10349999999999999</v>
      </c>
      <c r="K21" s="327">
        <v>0</v>
      </c>
      <c r="L21" s="327">
        <f t="shared" si="27"/>
        <v>61.78</v>
      </c>
      <c r="M21" s="327"/>
      <c r="N21" s="352">
        <f t="shared" si="28"/>
        <v>200.53059999999999</v>
      </c>
      <c r="O21" s="445">
        <v>0.28660000000000002</v>
      </c>
      <c r="P21" s="352">
        <f t="shared" si="10"/>
        <v>57.47</v>
      </c>
      <c r="Q21" s="327">
        <f>N21+P21</f>
        <v>258.00059999999996</v>
      </c>
      <c r="R21" s="320">
        <f t="shared" si="14"/>
        <v>0</v>
      </c>
      <c r="S21" s="328">
        <f t="shared" si="29"/>
        <v>258</v>
      </c>
      <c r="T21" s="556"/>
      <c r="U21" s="337" t="s">
        <v>332</v>
      </c>
      <c r="V21" s="540">
        <f t="shared" si="30"/>
        <v>103.46799999999999</v>
      </c>
      <c r="W21" s="540">
        <f t="shared" si="11"/>
        <v>35.282599999999995</v>
      </c>
      <c r="X21" s="540"/>
      <c r="Y21" s="540">
        <f t="shared" si="31"/>
        <v>52.694400000000002</v>
      </c>
      <c r="Z21" s="540">
        <f t="shared" si="32"/>
        <v>33.532799999999995</v>
      </c>
      <c r="AA21" s="540">
        <f t="shared" si="16"/>
        <v>0</v>
      </c>
      <c r="AB21" s="540">
        <f t="shared" si="12"/>
        <v>224.9778</v>
      </c>
      <c r="AC21" s="540">
        <f t="shared" si="33"/>
        <v>6.6044400000000003</v>
      </c>
      <c r="AD21" s="541">
        <f t="shared" si="34"/>
        <v>26.417759999999998</v>
      </c>
      <c r="AE21" s="542"/>
      <c r="AF21" s="543">
        <f t="shared" ref="AF21:AF60" si="35">AE21/AD21</f>
        <v>0</v>
      </c>
      <c r="AH21" s="533"/>
    </row>
    <row r="22" spans="1:34" ht="70.5" customHeight="1" x14ac:dyDescent="0.2">
      <c r="A22" s="377">
        <v>11</v>
      </c>
      <c r="B22" s="378" t="s">
        <v>333</v>
      </c>
      <c r="C22" s="491" t="s">
        <v>219</v>
      </c>
      <c r="D22" s="439">
        <f>40*60</f>
        <v>2400</v>
      </c>
      <c r="E22" s="365">
        <f>'Зарплата за минуту '!AB20</f>
        <v>0.2175</v>
      </c>
      <c r="F22" s="366">
        <f>ROUND(D22*E22,2)</f>
        <v>522</v>
      </c>
      <c r="G22" s="366">
        <f>ROUND(F22*'Дополнительная зп (2)'!E14,2)</f>
        <v>41.76</v>
      </c>
      <c r="H22" s="367">
        <f>ROUND(I22+J22+K22,2)</f>
        <v>192.24</v>
      </c>
      <c r="I22" s="504">
        <f>ROUND((F22+G22)*Взносы!$B$4,4)</f>
        <v>191.67840000000001</v>
      </c>
      <c r="J22" s="368">
        <f>ROUND((F22+G22)*Взносы!$C$4,4)</f>
        <v>0.56379999999999997</v>
      </c>
      <c r="K22" s="369">
        <v>0</v>
      </c>
      <c r="L22" s="505">
        <f>ROUND((F22+G22)*L$9,2)</f>
        <v>336.62</v>
      </c>
      <c r="M22" s="367"/>
      <c r="N22" s="367">
        <f>F22+G22+H22+L22+M22</f>
        <v>1092.6199999999999</v>
      </c>
      <c r="O22" s="447">
        <v>0.29870999999999998</v>
      </c>
      <c r="P22" s="367">
        <f t="shared" si="10"/>
        <v>326.38</v>
      </c>
      <c r="Q22" s="367">
        <f>N22+P22</f>
        <v>1419</v>
      </c>
      <c r="R22" s="369">
        <f t="shared" si="14"/>
        <v>0</v>
      </c>
      <c r="S22" s="379">
        <f t="shared" ref="S22:S23" si="36">ROUND(SUM(Q22:R22),2)</f>
        <v>1419</v>
      </c>
      <c r="T22" s="556"/>
      <c r="U22" s="337" t="s">
        <v>334</v>
      </c>
      <c r="V22" s="540">
        <f t="shared" si="30"/>
        <v>563.76</v>
      </c>
      <c r="W22" s="540">
        <f t="shared" si="11"/>
        <v>192.24</v>
      </c>
      <c r="X22" s="540"/>
      <c r="Y22" s="540">
        <f t="shared" si="31"/>
        <v>287.10000000000002</v>
      </c>
      <c r="Z22" s="540">
        <f t="shared" si="32"/>
        <v>182.7</v>
      </c>
      <c r="AA22" s="540">
        <f t="shared" si="16"/>
        <v>0</v>
      </c>
      <c r="AB22" s="540">
        <f t="shared" si="12"/>
        <v>1225.8</v>
      </c>
      <c r="AC22" s="540">
        <f t="shared" si="33"/>
        <v>38.640000000000015</v>
      </c>
      <c r="AD22" s="541">
        <f t="shared" si="34"/>
        <v>154.56000000000003</v>
      </c>
      <c r="AE22" s="542"/>
      <c r="AF22" s="543">
        <f t="shared" si="35"/>
        <v>0</v>
      </c>
      <c r="AH22" s="533"/>
    </row>
    <row r="23" spans="1:34" ht="54.75" customHeight="1" x14ac:dyDescent="0.2">
      <c r="A23" s="613">
        <v>12</v>
      </c>
      <c r="B23" s="375" t="s">
        <v>336</v>
      </c>
      <c r="C23" s="683" t="s">
        <v>335</v>
      </c>
      <c r="D23" s="435">
        <f>40*60</f>
        <v>2400</v>
      </c>
      <c r="E23" s="312">
        <f>'Зарплата за минуту '!AB21</f>
        <v>0.2175</v>
      </c>
      <c r="F23" s="351">
        <f t="shared" ref="F23" si="37">D23*E23</f>
        <v>522</v>
      </c>
      <c r="G23" s="351">
        <f>ROUND(F23*'Дополнительная зп (2)'!E$15,2)</f>
        <v>46.98</v>
      </c>
      <c r="H23" s="351">
        <f t="shared" ref="H23:H60" si="38">ROUND(I23+J23+K23,2)</f>
        <v>194.02</v>
      </c>
      <c r="I23" s="325">
        <f>ROUND((F23+G23)*Взносы!$B$4,4)</f>
        <v>193.45320000000001</v>
      </c>
      <c r="J23" s="325">
        <f>ROUND((F23+G23)*Взносы!$C$4,4)</f>
        <v>0.56899999999999995</v>
      </c>
      <c r="K23" s="325">
        <v>0</v>
      </c>
      <c r="L23" s="325">
        <f t="shared" ref="L23" si="39">ROUND((F23+G23)*L$9,2)</f>
        <v>339.74</v>
      </c>
      <c r="M23" s="325"/>
      <c r="N23" s="351">
        <f t="shared" ref="N23" si="40">F23+G23+H23+L23+M23</f>
        <v>1102.74</v>
      </c>
      <c r="O23" s="444">
        <v>0.29768</v>
      </c>
      <c r="P23" s="351">
        <f t="shared" si="10"/>
        <v>328.26</v>
      </c>
      <c r="Q23" s="325">
        <f>N23+P23</f>
        <v>1431</v>
      </c>
      <c r="R23" s="313">
        <f t="shared" si="14"/>
        <v>0</v>
      </c>
      <c r="S23" s="326">
        <f t="shared" si="36"/>
        <v>1431</v>
      </c>
      <c r="T23" s="556"/>
      <c r="U23" s="680" t="s">
        <v>270</v>
      </c>
      <c r="V23" s="540">
        <f t="shared" si="30"/>
        <v>568.98</v>
      </c>
      <c r="W23" s="540">
        <f t="shared" si="11"/>
        <v>194.02</v>
      </c>
      <c r="X23" s="540"/>
      <c r="Y23" s="540">
        <f t="shared" si="31"/>
        <v>287.10000000000002</v>
      </c>
      <c r="Z23" s="540">
        <f t="shared" si="32"/>
        <v>182.7</v>
      </c>
      <c r="AA23" s="540">
        <f t="shared" si="16"/>
        <v>0</v>
      </c>
      <c r="AB23" s="540">
        <f t="shared" si="12"/>
        <v>1232.8</v>
      </c>
      <c r="AC23" s="540">
        <f t="shared" si="33"/>
        <v>39.640000000000015</v>
      </c>
      <c r="AD23" s="541">
        <f t="shared" si="34"/>
        <v>158.56000000000003</v>
      </c>
      <c r="AE23" s="542"/>
      <c r="AF23" s="543">
        <f t="shared" si="35"/>
        <v>0</v>
      </c>
      <c r="AH23" s="533"/>
    </row>
    <row r="24" spans="1:34" ht="54" customHeight="1" x14ac:dyDescent="0.2">
      <c r="A24" s="322">
        <v>13</v>
      </c>
      <c r="B24" s="353" t="s">
        <v>337</v>
      </c>
      <c r="C24" s="684"/>
      <c r="D24" s="440">
        <f>40*60</f>
        <v>2400</v>
      </c>
      <c r="E24" s="316">
        <f>'Зарплата за минуту '!AB21</f>
        <v>0.2175</v>
      </c>
      <c r="F24" s="380">
        <f t="shared" ref="F24:F25" si="41">D24*E24</f>
        <v>522</v>
      </c>
      <c r="G24" s="380">
        <f>ROUND(F24*'Дополнительная зп (2)'!E$15,2)</f>
        <v>46.98</v>
      </c>
      <c r="H24" s="380">
        <f t="shared" si="38"/>
        <v>194.02</v>
      </c>
      <c r="I24" s="323">
        <f>ROUND((F24+G24)*Взносы!$B$4,4)</f>
        <v>193.45320000000001</v>
      </c>
      <c r="J24" s="323">
        <f>ROUND((F24+G24)*Взносы!$C$4,4)</f>
        <v>0.56899999999999995</v>
      </c>
      <c r="K24" s="323">
        <v>0</v>
      </c>
      <c r="L24" s="323">
        <f t="shared" ref="L24:L25" si="42">ROUND((F24+G24)*L$9,2)</f>
        <v>339.74</v>
      </c>
      <c r="M24" s="323"/>
      <c r="N24" s="380">
        <f>F24+G24+H24+L24+M24</f>
        <v>1102.74</v>
      </c>
      <c r="O24" s="448">
        <v>0.29768</v>
      </c>
      <c r="P24" s="380">
        <f t="shared" si="10"/>
        <v>328.26</v>
      </c>
      <c r="Q24" s="323">
        <f t="shared" ref="Q24:Q25" si="43">N24+P24</f>
        <v>1431</v>
      </c>
      <c r="R24" s="317">
        <f t="shared" si="14"/>
        <v>0</v>
      </c>
      <c r="S24" s="324">
        <f t="shared" ref="S24:S25" si="44">ROUND(SUM(Q24:R24),2)</f>
        <v>1431</v>
      </c>
      <c r="T24" s="556"/>
      <c r="U24" s="680"/>
      <c r="V24" s="540">
        <f t="shared" si="30"/>
        <v>568.98</v>
      </c>
      <c r="W24" s="540">
        <f t="shared" si="11"/>
        <v>194.02</v>
      </c>
      <c r="X24" s="540"/>
      <c r="Y24" s="540">
        <f t="shared" si="31"/>
        <v>287.10000000000002</v>
      </c>
      <c r="Z24" s="540">
        <f t="shared" si="32"/>
        <v>182.7</v>
      </c>
      <c r="AA24" s="540">
        <f t="shared" si="16"/>
        <v>0</v>
      </c>
      <c r="AB24" s="540">
        <f t="shared" si="12"/>
        <v>1232.8</v>
      </c>
      <c r="AC24" s="540">
        <f t="shared" si="33"/>
        <v>39.640000000000015</v>
      </c>
      <c r="AD24" s="541">
        <f t="shared" si="34"/>
        <v>158.56000000000003</v>
      </c>
      <c r="AE24" s="542"/>
      <c r="AF24" s="543">
        <f t="shared" si="35"/>
        <v>0</v>
      </c>
      <c r="AH24" s="533"/>
    </row>
    <row r="25" spans="1:34" ht="54" customHeight="1" x14ac:dyDescent="0.2">
      <c r="A25" s="614">
        <v>14</v>
      </c>
      <c r="B25" s="376" t="s">
        <v>338</v>
      </c>
      <c r="C25" s="686"/>
      <c r="D25" s="438">
        <f>24*60</f>
        <v>1440</v>
      </c>
      <c r="E25" s="319">
        <f>'Зарплата за минуту '!AB21</f>
        <v>0.2175</v>
      </c>
      <c r="F25" s="352">
        <f t="shared" si="41"/>
        <v>313.2</v>
      </c>
      <c r="G25" s="352">
        <f>ROUND(F25*'Дополнительная зп (2)'!E$15,2)</f>
        <v>28.19</v>
      </c>
      <c r="H25" s="352">
        <f t="shared" si="38"/>
        <v>116.41</v>
      </c>
      <c r="I25" s="327">
        <f>ROUND((F25+G25)*Взносы!$B$4,4)</f>
        <v>116.07259999999999</v>
      </c>
      <c r="J25" s="327">
        <f>ROUND((F25+G25)*Взносы!$C$4,4)</f>
        <v>0.34139999999999998</v>
      </c>
      <c r="K25" s="327">
        <v>0</v>
      </c>
      <c r="L25" s="327">
        <f t="shared" si="42"/>
        <v>203.84</v>
      </c>
      <c r="M25" s="327"/>
      <c r="N25" s="327">
        <f t="shared" ref="N25" si="45">F25+G25+H25+L25+M25</f>
        <v>661.64</v>
      </c>
      <c r="O25" s="445">
        <v>0.29677999999999999</v>
      </c>
      <c r="P25" s="327">
        <f t="shared" si="10"/>
        <v>196.36</v>
      </c>
      <c r="Q25" s="327">
        <f t="shared" si="43"/>
        <v>858</v>
      </c>
      <c r="R25" s="320">
        <f t="shared" si="14"/>
        <v>0</v>
      </c>
      <c r="S25" s="328">
        <f t="shared" si="44"/>
        <v>858</v>
      </c>
      <c r="T25" s="556"/>
      <c r="U25" s="680"/>
      <c r="V25" s="540">
        <f t="shared" si="30"/>
        <v>341.39</v>
      </c>
      <c r="W25" s="540">
        <f t="shared" si="11"/>
        <v>116.41</v>
      </c>
      <c r="X25" s="540"/>
      <c r="Y25" s="540">
        <f t="shared" si="31"/>
        <v>172.26000000000002</v>
      </c>
      <c r="Z25" s="540">
        <f t="shared" si="32"/>
        <v>109.61999999999999</v>
      </c>
      <c r="AA25" s="540">
        <f t="shared" si="16"/>
        <v>0</v>
      </c>
      <c r="AB25" s="540">
        <f t="shared" si="12"/>
        <v>739.68</v>
      </c>
      <c r="AC25" s="540">
        <f t="shared" si="33"/>
        <v>23.664000000000012</v>
      </c>
      <c r="AD25" s="541">
        <f t="shared" si="34"/>
        <v>94.656000000000034</v>
      </c>
      <c r="AE25" s="542"/>
      <c r="AF25" s="543">
        <f t="shared" si="35"/>
        <v>0</v>
      </c>
      <c r="AH25" s="533"/>
    </row>
    <row r="26" spans="1:34" s="430" customFormat="1" ht="44.25" customHeight="1" x14ac:dyDescent="0.2">
      <c r="A26" s="567">
        <v>15</v>
      </c>
      <c r="B26" s="568" t="s">
        <v>402</v>
      </c>
      <c r="C26" s="569" t="s">
        <v>403</v>
      </c>
      <c r="D26" s="440">
        <f>40*60</f>
        <v>2400</v>
      </c>
      <c r="E26" s="581">
        <f>'Зарплата за минуту '!AB22</f>
        <v>0.2175</v>
      </c>
      <c r="F26" s="582">
        <f t="shared" ref="F26" si="46">D26*E26</f>
        <v>522</v>
      </c>
      <c r="G26" s="582">
        <f>ROUND(F26*'Дополнительная зп (2)'!E$15,2)</f>
        <v>46.98</v>
      </c>
      <c r="H26" s="582">
        <f t="shared" ref="H26" si="47">ROUND(I26+J26+K26,2)</f>
        <v>194.02</v>
      </c>
      <c r="I26" s="320">
        <f>ROUND((F26+G26)*Взносы!$B$4,4)</f>
        <v>193.45320000000001</v>
      </c>
      <c r="J26" s="320">
        <f>ROUND((F26+G26)*Взносы!$C$4,4)</f>
        <v>0.56899999999999995</v>
      </c>
      <c r="K26" s="320">
        <v>0</v>
      </c>
      <c r="L26" s="320">
        <f t="shared" ref="L26" si="48">ROUND((F26+G26)*L$9,2)</f>
        <v>339.74</v>
      </c>
      <c r="M26" s="320"/>
      <c r="N26" s="320">
        <f t="shared" ref="N26" si="49">F26+G26+H26+L26+M26</f>
        <v>1102.74</v>
      </c>
      <c r="O26" s="448">
        <v>0.29768</v>
      </c>
      <c r="P26" s="320">
        <f t="shared" ref="P26" si="50">ROUND(N26*O26,2)</f>
        <v>328.26</v>
      </c>
      <c r="Q26" s="320">
        <f t="shared" ref="Q26" si="51">N26+P26</f>
        <v>1431</v>
      </c>
      <c r="R26" s="320">
        <f t="shared" ref="R26" si="52">ROUND(Q26*R$9,2)</f>
        <v>0</v>
      </c>
      <c r="S26" s="583">
        <f t="shared" ref="S26" si="53">ROUND(SUM(Q26:R26),2)</f>
        <v>1431</v>
      </c>
      <c r="T26" s="570"/>
      <c r="U26" s="571"/>
      <c r="V26" s="572"/>
      <c r="W26" s="572"/>
      <c r="X26" s="572"/>
      <c r="Y26" s="572"/>
      <c r="Z26" s="572"/>
      <c r="AA26" s="572"/>
      <c r="AB26" s="572"/>
      <c r="AC26" s="572"/>
      <c r="AD26" s="573"/>
      <c r="AE26" s="574"/>
      <c r="AF26" s="575"/>
      <c r="AH26" s="576"/>
    </row>
    <row r="27" spans="1:34" s="372" customFormat="1" ht="15" hidden="1" x14ac:dyDescent="0.2">
      <c r="A27" s="704" t="s">
        <v>339</v>
      </c>
      <c r="B27" s="705"/>
      <c r="C27" s="705"/>
      <c r="D27" s="705"/>
      <c r="E27" s="705"/>
      <c r="F27" s="705"/>
      <c r="G27" s="705"/>
      <c r="H27" s="705">
        <f t="shared" si="38"/>
        <v>0</v>
      </c>
      <c r="I27" s="705"/>
      <c r="J27" s="705"/>
      <c r="K27" s="705"/>
      <c r="L27" s="705"/>
      <c r="M27" s="705"/>
      <c r="N27" s="705"/>
      <c r="O27" s="705"/>
      <c r="P27" s="705">
        <f t="shared" si="10"/>
        <v>0</v>
      </c>
      <c r="Q27" s="705"/>
      <c r="R27" s="706">
        <f t="shared" si="14"/>
        <v>0</v>
      </c>
      <c r="S27" s="389">
        <f>SUM(S20:S25)</f>
        <v>5658</v>
      </c>
      <c r="T27" s="555"/>
      <c r="U27" s="431"/>
      <c r="V27" s="540"/>
      <c r="W27" s="540"/>
      <c r="X27" s="540"/>
      <c r="Y27" s="540"/>
      <c r="Z27" s="540"/>
      <c r="AA27" s="540">
        <f t="shared" si="16"/>
        <v>0</v>
      </c>
      <c r="AB27" s="540"/>
      <c r="AC27" s="540"/>
      <c r="AD27" s="541"/>
      <c r="AE27" s="542"/>
      <c r="AF27" s="543"/>
      <c r="AH27" s="533"/>
    </row>
    <row r="28" spans="1:34" ht="67.5" customHeight="1" x14ac:dyDescent="0.2">
      <c r="A28" s="347">
        <v>16</v>
      </c>
      <c r="B28" s="375" t="s">
        <v>340</v>
      </c>
      <c r="C28" s="489" t="s">
        <v>272</v>
      </c>
      <c r="D28" s="435">
        <f>40*60</f>
        <v>2400</v>
      </c>
      <c r="E28" s="312">
        <f>'Зарплата за минуту '!AB24</f>
        <v>0.253</v>
      </c>
      <c r="F28" s="351">
        <f t="shared" ref="F28:F29" si="54">ROUND(D28*E28,2)</f>
        <v>607.20000000000005</v>
      </c>
      <c r="G28" s="351">
        <f>ROUND(F28*'Дополнительная зп (2)'!E18,2)</f>
        <v>66.790000000000006</v>
      </c>
      <c r="H28" s="351">
        <f t="shared" si="38"/>
        <v>256.79000000000002</v>
      </c>
      <c r="I28" s="498">
        <f>ROUND((F28+G28)*Взносы!$B$4,4)</f>
        <v>229.1566</v>
      </c>
      <c r="J28" s="314">
        <f>ROUND((F28+G28)*Взносы!$C$4,4)</f>
        <v>0.67400000000000004</v>
      </c>
      <c r="K28" s="313">
        <f>ROUND((F28+G28)*Взносы!F$4,4)</f>
        <v>26.959599999999998</v>
      </c>
      <c r="L28" s="499">
        <f t="shared" ref="L28:L29" si="55">ROUND((F28+G28)*L$9,2)</f>
        <v>402.44</v>
      </c>
      <c r="M28" s="325"/>
      <c r="N28" s="325">
        <f t="shared" ref="N28:N29" si="56">F28+G28+H28+L28+M28</f>
        <v>1333.22</v>
      </c>
      <c r="O28" s="458">
        <v>0.29836000000000001</v>
      </c>
      <c r="P28" s="325">
        <f t="shared" si="10"/>
        <v>397.78</v>
      </c>
      <c r="Q28" s="364">
        <f t="shared" ref="Q28:Q29" si="57">N28+P28</f>
        <v>1731</v>
      </c>
      <c r="R28" s="425">
        <f t="shared" si="14"/>
        <v>0</v>
      </c>
      <c r="S28" s="341">
        <f t="shared" ref="S28:S29" si="58">ROUND(SUM(Q28:R28),2)</f>
        <v>1731</v>
      </c>
      <c r="T28" s="554"/>
      <c r="U28" s="432" t="s">
        <v>273</v>
      </c>
      <c r="V28" s="540">
        <f>F28+G28</f>
        <v>673.99</v>
      </c>
      <c r="W28" s="540">
        <f t="shared" si="11"/>
        <v>256.79000000000002</v>
      </c>
      <c r="X28" s="540"/>
      <c r="Y28" s="540">
        <f>F28*0.55</f>
        <v>333.96000000000004</v>
      </c>
      <c r="Z28" s="540">
        <f>F28*0.35</f>
        <v>212.52</v>
      </c>
      <c r="AA28" s="540">
        <f t="shared" si="16"/>
        <v>0</v>
      </c>
      <c r="AB28" s="540">
        <f t="shared" si="12"/>
        <v>1477.26</v>
      </c>
      <c r="AC28" s="540">
        <f>(S28-AB28)*20%</f>
        <v>50.748000000000005</v>
      </c>
      <c r="AD28" s="541">
        <f>S28-AB28-AC28</f>
        <v>202.99200000000002</v>
      </c>
      <c r="AE28" s="542"/>
      <c r="AF28" s="543">
        <f t="shared" si="35"/>
        <v>0</v>
      </c>
      <c r="AH28" s="533"/>
    </row>
    <row r="29" spans="1:34" ht="68.25" customHeight="1" x14ac:dyDescent="0.2">
      <c r="A29" s="391">
        <v>17</v>
      </c>
      <c r="B29" s="353" t="s">
        <v>341</v>
      </c>
      <c r="C29" s="492" t="s">
        <v>262</v>
      </c>
      <c r="D29" s="440">
        <f>40*60</f>
        <v>2400</v>
      </c>
      <c r="E29" s="316">
        <f>'Зарплата за минуту '!AB25</f>
        <v>0.24759999999999999</v>
      </c>
      <c r="F29" s="380">
        <f t="shared" si="54"/>
        <v>594.24</v>
      </c>
      <c r="G29" s="380">
        <f>ROUND(F29*'Дополнительная зп (2)'!E19,2)</f>
        <v>65.37</v>
      </c>
      <c r="H29" s="380">
        <f t="shared" si="38"/>
        <v>251.31</v>
      </c>
      <c r="I29" s="506">
        <f>ROUND((F29+G29)*Взносы!$B$4,4)</f>
        <v>224.26740000000001</v>
      </c>
      <c r="J29" s="318">
        <f>ROUND((F29+G29)*Взносы!$C$4,4)</f>
        <v>0.65959999999999996</v>
      </c>
      <c r="K29" s="317">
        <f>ROUND((F29+G29)*Взносы!F$4,4)</f>
        <v>26.384399999999999</v>
      </c>
      <c r="L29" s="507">
        <f t="shared" si="55"/>
        <v>393.85</v>
      </c>
      <c r="M29" s="323"/>
      <c r="N29" s="380">
        <f t="shared" si="56"/>
        <v>1304.77</v>
      </c>
      <c r="O29" s="448">
        <v>0.29908200000000001</v>
      </c>
      <c r="P29" s="380">
        <f t="shared" si="10"/>
        <v>390.23</v>
      </c>
      <c r="Q29" s="390">
        <f t="shared" si="57"/>
        <v>1695</v>
      </c>
      <c r="R29" s="426">
        <f t="shared" si="14"/>
        <v>0</v>
      </c>
      <c r="S29" s="342">
        <f t="shared" si="58"/>
        <v>1695</v>
      </c>
      <c r="T29" s="554"/>
      <c r="U29" s="432" t="s">
        <v>274</v>
      </c>
      <c r="V29" s="540">
        <f>F29+G29</f>
        <v>659.61</v>
      </c>
      <c r="W29" s="540">
        <f t="shared" si="11"/>
        <v>251.31</v>
      </c>
      <c r="X29" s="540"/>
      <c r="Y29" s="540">
        <f>F29*0.55</f>
        <v>326.83200000000005</v>
      </c>
      <c r="Z29" s="540">
        <f>F29*0.35</f>
        <v>207.98399999999998</v>
      </c>
      <c r="AA29" s="540">
        <f t="shared" si="16"/>
        <v>0</v>
      </c>
      <c r="AB29" s="540">
        <f t="shared" si="12"/>
        <v>1445.7360000000001</v>
      </c>
      <c r="AC29" s="540">
        <f>(S29-AB29)*20%</f>
        <v>49.852799999999981</v>
      </c>
      <c r="AD29" s="541">
        <f>S29-AB29-AC29</f>
        <v>199.41119999999992</v>
      </c>
      <c r="AE29" s="542"/>
      <c r="AF29" s="543">
        <f t="shared" si="35"/>
        <v>0</v>
      </c>
      <c r="AH29" s="533"/>
    </row>
    <row r="30" spans="1:34" ht="133.5" customHeight="1" x14ac:dyDescent="0.2">
      <c r="A30" s="391">
        <v>18</v>
      </c>
      <c r="B30" s="353" t="s">
        <v>382</v>
      </c>
      <c r="C30" s="492" t="s">
        <v>272</v>
      </c>
      <c r="D30" s="440">
        <f>40*60</f>
        <v>2400</v>
      </c>
      <c r="E30" s="316">
        <f>'Зарплата за минуту '!AB26</f>
        <v>0.248</v>
      </c>
      <c r="F30" s="380">
        <f t="shared" ref="F30" si="59">ROUND(D30*E30,2)</f>
        <v>595.20000000000005</v>
      </c>
      <c r="G30" s="380">
        <f>ROUND(F30*'Дополнительная зп (2)'!E20,2)</f>
        <v>65.47</v>
      </c>
      <c r="H30" s="380">
        <f t="shared" si="38"/>
        <v>251.72</v>
      </c>
      <c r="I30" s="506">
        <f>ROUND((F30+G30)*Взносы!$B$4,4)</f>
        <v>224.62780000000001</v>
      </c>
      <c r="J30" s="318">
        <f>ROUND((F30+G30)*Взносы!$C$4,4)</f>
        <v>0.66069999999999995</v>
      </c>
      <c r="K30" s="317">
        <f>ROUND((F30+G30)*Взносы!F$4,4)</f>
        <v>26.4268</v>
      </c>
      <c r="L30" s="507">
        <f t="shared" ref="L30" si="60">ROUND((F30+G30)*L$9,2)</f>
        <v>394.49</v>
      </c>
      <c r="M30" s="323"/>
      <c r="N30" s="323">
        <f t="shared" ref="N30" si="61">F30+G30+H30+L30+M30</f>
        <v>1306.8800000000001</v>
      </c>
      <c r="O30" s="448">
        <v>0.29927999999999999</v>
      </c>
      <c r="P30" s="323">
        <f t="shared" si="10"/>
        <v>391.12</v>
      </c>
      <c r="Q30" s="390">
        <f t="shared" ref="Q30" si="62">N30+P30</f>
        <v>1698</v>
      </c>
      <c r="R30" s="426">
        <f t="shared" si="14"/>
        <v>0</v>
      </c>
      <c r="S30" s="342">
        <f t="shared" ref="S30" si="63">ROUND(SUM(Q30:R30),2)</f>
        <v>1698</v>
      </c>
      <c r="T30" s="554"/>
      <c r="U30" s="432" t="s">
        <v>275</v>
      </c>
      <c r="V30" s="540">
        <f>F30+G30</f>
        <v>660.67000000000007</v>
      </c>
      <c r="W30" s="540">
        <f t="shared" si="11"/>
        <v>251.72</v>
      </c>
      <c r="X30" s="540"/>
      <c r="Y30" s="540">
        <f>F30*0.55</f>
        <v>327.36000000000007</v>
      </c>
      <c r="Z30" s="540">
        <f>F30*0.35</f>
        <v>208.32</v>
      </c>
      <c r="AA30" s="540">
        <f t="shared" si="16"/>
        <v>0</v>
      </c>
      <c r="AB30" s="540">
        <f t="shared" si="12"/>
        <v>1448.0700000000002</v>
      </c>
      <c r="AC30" s="540">
        <f>(S30-AB30)*20%</f>
        <v>49.985999999999969</v>
      </c>
      <c r="AD30" s="541">
        <f>S30-AB30-AC30</f>
        <v>199.94399999999987</v>
      </c>
      <c r="AE30" s="542"/>
      <c r="AF30" s="543">
        <f t="shared" si="35"/>
        <v>0</v>
      </c>
      <c r="AH30" s="533"/>
    </row>
    <row r="31" spans="1:34" ht="55.5" customHeight="1" x14ac:dyDescent="0.2">
      <c r="A31" s="348">
        <v>19</v>
      </c>
      <c r="B31" s="376" t="s">
        <v>342</v>
      </c>
      <c r="C31" s="490" t="s">
        <v>413</v>
      </c>
      <c r="D31" s="438">
        <f>16*60</f>
        <v>960</v>
      </c>
      <c r="E31" s="319">
        <f>'Зарплата за минуту '!AB27</f>
        <v>0.24540000000000001</v>
      </c>
      <c r="F31" s="352">
        <f t="shared" ref="F31" si="64">ROUND(D31*E31,2)</f>
        <v>235.58</v>
      </c>
      <c r="G31" s="352">
        <f>ROUND(F31*'Дополнительная зп (2)'!E21,2)</f>
        <v>18.850000000000001</v>
      </c>
      <c r="H31" s="352">
        <f t="shared" si="38"/>
        <v>86.76</v>
      </c>
      <c r="I31" s="500">
        <f>ROUND((F31+G31)*Взносы!$B$4,4)</f>
        <v>86.506200000000007</v>
      </c>
      <c r="J31" s="321">
        <f>ROUND((F31+G31)*Взносы!$C$4,4)</f>
        <v>0.25440000000000002</v>
      </c>
      <c r="K31" s="320">
        <v>0</v>
      </c>
      <c r="L31" s="501">
        <f t="shared" ref="L31" si="65">ROUND((F31+G31)*L$9,2)</f>
        <v>151.91999999999999</v>
      </c>
      <c r="M31" s="327"/>
      <c r="N31" s="327">
        <f t="shared" ref="N31" si="66">F31+G31+H31+L31+M31</f>
        <v>493.11</v>
      </c>
      <c r="O31" s="445">
        <v>0.29586000000000001</v>
      </c>
      <c r="P31" s="327">
        <f t="shared" si="10"/>
        <v>145.88999999999999</v>
      </c>
      <c r="Q31" s="392">
        <f t="shared" ref="Q31" si="67">N31+P31</f>
        <v>639</v>
      </c>
      <c r="R31" s="423">
        <f t="shared" si="14"/>
        <v>0</v>
      </c>
      <c r="S31" s="350">
        <f t="shared" ref="S31" si="68">ROUND(SUM(Q31:R31),2)</f>
        <v>639</v>
      </c>
      <c r="T31" s="554"/>
      <c r="U31" s="432" t="s">
        <v>277</v>
      </c>
      <c r="V31" s="540">
        <f>F31+G31</f>
        <v>254.43</v>
      </c>
      <c r="W31" s="540">
        <f t="shared" si="11"/>
        <v>86.76</v>
      </c>
      <c r="X31" s="540"/>
      <c r="Y31" s="540">
        <f>F31*0.55</f>
        <v>129.56900000000002</v>
      </c>
      <c r="Z31" s="540">
        <f>F31*0.35</f>
        <v>82.453000000000003</v>
      </c>
      <c r="AA31" s="540">
        <f t="shared" si="16"/>
        <v>0</v>
      </c>
      <c r="AB31" s="540">
        <f t="shared" si="12"/>
        <v>553.21199999999999</v>
      </c>
      <c r="AC31" s="540">
        <f>(S31-AB31)*20%</f>
        <v>17.157600000000002</v>
      </c>
      <c r="AD31" s="541">
        <f>S31-AB31-AC31</f>
        <v>68.630400000000009</v>
      </c>
      <c r="AE31" s="542"/>
      <c r="AF31" s="543">
        <f t="shared" si="35"/>
        <v>0</v>
      </c>
      <c r="AH31" s="533"/>
    </row>
    <row r="32" spans="1:34" s="372" customFormat="1" ht="15" hidden="1" x14ac:dyDescent="0.2">
      <c r="A32" s="704" t="s">
        <v>343</v>
      </c>
      <c r="B32" s="705"/>
      <c r="C32" s="705"/>
      <c r="D32" s="705"/>
      <c r="E32" s="705"/>
      <c r="F32" s="705"/>
      <c r="G32" s="705"/>
      <c r="H32" s="705">
        <f t="shared" si="38"/>
        <v>0</v>
      </c>
      <c r="I32" s="705"/>
      <c r="J32" s="705"/>
      <c r="K32" s="705"/>
      <c r="L32" s="705"/>
      <c r="M32" s="705"/>
      <c r="N32" s="705"/>
      <c r="O32" s="705"/>
      <c r="P32" s="705">
        <f t="shared" si="10"/>
        <v>0</v>
      </c>
      <c r="Q32" s="705"/>
      <c r="R32" s="706"/>
      <c r="S32" s="389">
        <f>SUM(S28:S31)</f>
        <v>5763</v>
      </c>
      <c r="T32" s="555"/>
      <c r="U32" s="431"/>
      <c r="V32" s="540"/>
      <c r="W32" s="540"/>
      <c r="X32" s="540"/>
      <c r="Y32" s="540"/>
      <c r="Z32" s="540"/>
      <c r="AA32" s="540">
        <f t="shared" si="16"/>
        <v>0</v>
      </c>
      <c r="AB32" s="540"/>
      <c r="AC32" s="540"/>
      <c r="AD32" s="541"/>
      <c r="AE32" s="542"/>
      <c r="AF32" s="543"/>
      <c r="AH32" s="533"/>
    </row>
    <row r="33" spans="1:34" ht="26.25" customHeight="1" x14ac:dyDescent="0.2">
      <c r="A33" s="315">
        <v>20</v>
      </c>
      <c r="B33" s="373" t="s">
        <v>379</v>
      </c>
      <c r="C33" s="693" t="s">
        <v>279</v>
      </c>
      <c r="D33" s="442">
        <f>24*60</f>
        <v>1440</v>
      </c>
      <c r="E33" s="343">
        <f>'Зарплата за минуту '!AB29</f>
        <v>0.2402</v>
      </c>
      <c r="F33" s="397">
        <f t="shared" ref="F33:F34" si="69">ROUND(D33*E33,2)</f>
        <v>345.89</v>
      </c>
      <c r="G33" s="397">
        <f>ROUND(F33*'Дополнительная зп (2)'!E23,2)</f>
        <v>38.049999999999997</v>
      </c>
      <c r="H33" s="397">
        <f t="shared" si="38"/>
        <v>146.28</v>
      </c>
      <c r="I33" s="510">
        <f>ROUND((F33+G33)*Взносы!$B$4,4)</f>
        <v>130.53960000000001</v>
      </c>
      <c r="J33" s="346">
        <f>ROUND((F33+G33)*Взносы!$C$4,4)</f>
        <v>0.38390000000000002</v>
      </c>
      <c r="K33" s="345">
        <f>ROUND((F33+G33)*Взносы!F$4,4)</f>
        <v>15.3576</v>
      </c>
      <c r="L33" s="511">
        <f t="shared" ref="L33:L34" si="70">ROUND((F33+G33)*L$9,2)</f>
        <v>229.25</v>
      </c>
      <c r="M33" s="344"/>
      <c r="N33" s="344">
        <f t="shared" ref="N33:N34" si="71">F33+G33+H33+L33+M33</f>
        <v>759.47</v>
      </c>
      <c r="O33" s="449">
        <v>0.29959000000000002</v>
      </c>
      <c r="P33" s="344">
        <f t="shared" si="10"/>
        <v>227.53</v>
      </c>
      <c r="Q33" s="398">
        <f t="shared" ref="Q33" si="72">N33+P33</f>
        <v>987</v>
      </c>
      <c r="R33" s="428">
        <f t="shared" si="14"/>
        <v>0</v>
      </c>
      <c r="S33" s="374">
        <f t="shared" ref="S33" si="73">ROUND(SUM(Q33:R33),2)</f>
        <v>987</v>
      </c>
      <c r="T33" s="554"/>
      <c r="U33" s="689" t="s">
        <v>280</v>
      </c>
      <c r="V33" s="540">
        <f>F33+G33</f>
        <v>383.94</v>
      </c>
      <c r="W33" s="540">
        <f t="shared" si="11"/>
        <v>146.28</v>
      </c>
      <c r="X33" s="540"/>
      <c r="Y33" s="540">
        <f>F33*0.55</f>
        <v>190.23950000000002</v>
      </c>
      <c r="Z33" s="540">
        <f>F33*0.35</f>
        <v>121.06149999999998</v>
      </c>
      <c r="AA33" s="540">
        <f t="shared" si="16"/>
        <v>0</v>
      </c>
      <c r="AB33" s="540">
        <f t="shared" si="12"/>
        <v>841.52100000000007</v>
      </c>
      <c r="AC33" s="540">
        <f>(S33-AB33)*20%</f>
        <v>29.095799999999986</v>
      </c>
      <c r="AD33" s="541">
        <f>S33-AB33-AC33</f>
        <v>116.38319999999995</v>
      </c>
      <c r="AE33" s="542"/>
      <c r="AF33" s="543">
        <f t="shared" si="35"/>
        <v>0</v>
      </c>
      <c r="AH33" s="533"/>
    </row>
    <row r="34" spans="1:34" ht="41.25" customHeight="1" x14ac:dyDescent="0.2">
      <c r="A34" s="322">
        <v>21</v>
      </c>
      <c r="B34" s="353" t="s">
        <v>380</v>
      </c>
      <c r="C34" s="694"/>
      <c r="D34" s="438">
        <f>24*60</f>
        <v>1440</v>
      </c>
      <c r="E34" s="316">
        <f>'Зарплата за минуту '!AB29</f>
        <v>0.2402</v>
      </c>
      <c r="F34" s="352">
        <f t="shared" si="69"/>
        <v>345.89</v>
      </c>
      <c r="G34" s="380">
        <f>ROUND(F34*'Дополнительная зп (2)'!E23,2)</f>
        <v>38.049999999999997</v>
      </c>
      <c r="H34" s="380">
        <f t="shared" si="38"/>
        <v>146.28</v>
      </c>
      <c r="I34" s="500">
        <f>ROUND((F34+G34)*Взносы!$B$4,4)</f>
        <v>130.53960000000001</v>
      </c>
      <c r="J34" s="321">
        <f>ROUND((F34+G34)*Взносы!$C$4,4)</f>
        <v>0.38390000000000002</v>
      </c>
      <c r="K34" s="320">
        <f>ROUND((F34+G34)*Взносы!F$4,4)</f>
        <v>15.3576</v>
      </c>
      <c r="L34" s="501">
        <f t="shared" si="70"/>
        <v>229.25</v>
      </c>
      <c r="M34" s="327"/>
      <c r="N34" s="327">
        <f t="shared" si="71"/>
        <v>759.47</v>
      </c>
      <c r="O34" s="445">
        <v>0.29959000000000002</v>
      </c>
      <c r="P34" s="327">
        <f t="shared" si="10"/>
        <v>227.53</v>
      </c>
      <c r="Q34" s="390">
        <f t="shared" ref="Q34" si="74">N34+P34</f>
        <v>987</v>
      </c>
      <c r="R34" s="426">
        <f t="shared" si="14"/>
        <v>0</v>
      </c>
      <c r="S34" s="342">
        <f t="shared" ref="S34" si="75">ROUND(SUM(Q34:R34),2)</f>
        <v>987</v>
      </c>
      <c r="T34" s="554"/>
      <c r="U34" s="689"/>
      <c r="V34" s="540"/>
      <c r="W34" s="540"/>
      <c r="X34" s="540"/>
      <c r="Y34" s="540"/>
      <c r="Z34" s="540"/>
      <c r="AA34" s="540"/>
      <c r="AB34" s="540"/>
      <c r="AC34" s="540"/>
      <c r="AD34" s="541"/>
      <c r="AE34" s="542"/>
      <c r="AF34" s="543"/>
      <c r="AH34" s="533"/>
    </row>
    <row r="35" spans="1:34" s="372" customFormat="1" ht="15" hidden="1" x14ac:dyDescent="0.2">
      <c r="A35" s="704" t="s">
        <v>344</v>
      </c>
      <c r="B35" s="705"/>
      <c r="C35" s="705"/>
      <c r="D35" s="705"/>
      <c r="E35" s="705"/>
      <c r="F35" s="705"/>
      <c r="G35" s="705"/>
      <c r="H35" s="705">
        <f t="shared" si="38"/>
        <v>0</v>
      </c>
      <c r="I35" s="705"/>
      <c r="J35" s="705"/>
      <c r="K35" s="705"/>
      <c r="L35" s="705"/>
      <c r="M35" s="705"/>
      <c r="N35" s="705"/>
      <c r="O35" s="705"/>
      <c r="P35" s="705">
        <f t="shared" si="10"/>
        <v>0</v>
      </c>
      <c r="Q35" s="705"/>
      <c r="R35" s="706"/>
      <c r="S35" s="389">
        <f>SUM(S33:S34)</f>
        <v>1974</v>
      </c>
      <c r="T35" s="555"/>
      <c r="U35" s="431"/>
      <c r="V35" s="540"/>
      <c r="W35" s="540"/>
      <c r="X35" s="540"/>
      <c r="Y35" s="540"/>
      <c r="Z35" s="540"/>
      <c r="AA35" s="540"/>
      <c r="AB35" s="540"/>
      <c r="AC35" s="540"/>
      <c r="AD35" s="541"/>
      <c r="AE35" s="542"/>
      <c r="AF35" s="543"/>
      <c r="AH35" s="533"/>
    </row>
    <row r="36" spans="1:34" ht="40.5" customHeight="1" x14ac:dyDescent="0.2">
      <c r="A36" s="391">
        <v>22</v>
      </c>
      <c r="B36" s="353" t="s">
        <v>345</v>
      </c>
      <c r="C36" s="492" t="s">
        <v>282</v>
      </c>
      <c r="D36" s="440">
        <f>40*60</f>
        <v>2400</v>
      </c>
      <c r="E36" s="316">
        <f>'Зарплата за минуту '!AB31</f>
        <v>0.24260000000000001</v>
      </c>
      <c r="F36" s="380">
        <f t="shared" ref="F36" si="76">ROUND(D36*E36,2)</f>
        <v>582.24</v>
      </c>
      <c r="G36" s="380">
        <f>ROUND(F36*'Дополнительная зп (2)'!E25,2)</f>
        <v>64.05</v>
      </c>
      <c r="H36" s="380">
        <f t="shared" si="38"/>
        <v>246.24</v>
      </c>
      <c r="I36" s="506">
        <f>ROUND((F36+G36)*Взносы!$B$4,4)</f>
        <v>219.73859999999999</v>
      </c>
      <c r="J36" s="318">
        <f>ROUND((F36+G36)*Взносы!$C$4,4)</f>
        <v>0.64629999999999999</v>
      </c>
      <c r="K36" s="317">
        <f>ROUND((F36+G36)*Взносы!F$4,4)</f>
        <v>25.851600000000001</v>
      </c>
      <c r="L36" s="507">
        <f t="shared" ref="L36" si="77">ROUND((F36+G36)*L$9,2)</f>
        <v>385.9</v>
      </c>
      <c r="M36" s="323"/>
      <c r="N36" s="323">
        <f t="shared" ref="N36" si="78">F36+G36+H36+L36+M36</f>
        <v>1278.4299999999998</v>
      </c>
      <c r="O36" s="448">
        <v>0.29768800000000001</v>
      </c>
      <c r="P36" s="323">
        <f t="shared" si="10"/>
        <v>380.57</v>
      </c>
      <c r="Q36" s="390">
        <f t="shared" ref="Q36" si="79">N36+P36</f>
        <v>1658.9999999999998</v>
      </c>
      <c r="R36" s="426">
        <f t="shared" si="14"/>
        <v>0</v>
      </c>
      <c r="S36" s="342">
        <f t="shared" ref="S36" si="80">ROUND(SUM(Q36:R36),2)</f>
        <v>1659</v>
      </c>
      <c r="T36" s="554"/>
      <c r="U36" s="431"/>
      <c r="V36" s="540">
        <f>F36+G36</f>
        <v>646.29</v>
      </c>
      <c r="W36" s="540">
        <f t="shared" si="11"/>
        <v>246.24</v>
      </c>
      <c r="X36" s="540"/>
      <c r="Y36" s="540">
        <f>F36*0.55</f>
        <v>320.23200000000003</v>
      </c>
      <c r="Z36" s="540">
        <f>F36*0.35</f>
        <v>203.78399999999999</v>
      </c>
      <c r="AA36" s="540">
        <f t="shared" si="16"/>
        <v>0</v>
      </c>
      <c r="AB36" s="540">
        <f t="shared" si="12"/>
        <v>1416.5459999999998</v>
      </c>
      <c r="AC36" s="540">
        <f>(S36-AB36)*20%</f>
        <v>48.490800000000036</v>
      </c>
      <c r="AD36" s="541">
        <f>S36-AB36-AC36</f>
        <v>193.96320000000014</v>
      </c>
      <c r="AE36" s="542"/>
      <c r="AF36" s="543">
        <f t="shared" si="35"/>
        <v>0</v>
      </c>
      <c r="AH36" s="533"/>
    </row>
    <row r="37" spans="1:34" s="372" customFormat="1" ht="15" hidden="1" x14ac:dyDescent="0.2">
      <c r="A37" s="704" t="s">
        <v>346</v>
      </c>
      <c r="B37" s="705"/>
      <c r="C37" s="705"/>
      <c r="D37" s="705"/>
      <c r="E37" s="705"/>
      <c r="F37" s="705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5"/>
      <c r="R37" s="706"/>
      <c r="S37" s="389">
        <f>SUM(S36)</f>
        <v>1659</v>
      </c>
      <c r="T37" s="555"/>
      <c r="U37" s="431"/>
      <c r="V37" s="540"/>
      <c r="W37" s="540"/>
      <c r="X37" s="540"/>
      <c r="Y37" s="540"/>
      <c r="Z37" s="540"/>
      <c r="AA37" s="540">
        <f t="shared" si="16"/>
        <v>0</v>
      </c>
      <c r="AB37" s="540"/>
      <c r="AC37" s="540"/>
      <c r="AD37" s="541"/>
      <c r="AE37" s="542"/>
      <c r="AF37" s="543"/>
      <c r="AH37" s="533"/>
    </row>
    <row r="38" spans="1:34" ht="51" x14ac:dyDescent="0.2">
      <c r="A38" s="456">
        <v>23</v>
      </c>
      <c r="B38" s="457" t="s">
        <v>348</v>
      </c>
      <c r="C38" s="493" t="s">
        <v>27</v>
      </c>
      <c r="D38" s="442">
        <f>40*60</f>
        <v>2400</v>
      </c>
      <c r="E38" s="343">
        <f>'Зарплата за минуту '!AB33</f>
        <v>0.26</v>
      </c>
      <c r="F38" s="397">
        <f t="shared" ref="F38:F42" si="81">ROUND(D38*E38,2)</f>
        <v>624</v>
      </c>
      <c r="G38" s="397">
        <f>ROUND(F38*'Дополнительная зп (2)'!E27,2)</f>
        <v>68.64</v>
      </c>
      <c r="H38" s="397">
        <f t="shared" si="38"/>
        <v>263.89999999999998</v>
      </c>
      <c r="I38" s="510">
        <f>ROUND((F38+G38)*Взносы!$B$4,4)</f>
        <v>235.49760000000001</v>
      </c>
      <c r="J38" s="346">
        <f>ROUND((F38+G38)*Взносы!$C$4,4)</f>
        <v>0.69259999999999999</v>
      </c>
      <c r="K38" s="345">
        <f>ROUND((F38+G38)*Взносы!F$4,4)</f>
        <v>27.7056</v>
      </c>
      <c r="L38" s="511">
        <f t="shared" ref="L38" si="82">ROUND((F38+G38)*L$9,2)</f>
        <v>413.58</v>
      </c>
      <c r="M38" s="344"/>
      <c r="N38" s="344">
        <f t="shared" ref="N38" si="83">F38+G38+H38+L38+M38</f>
        <v>1370.12</v>
      </c>
      <c r="O38" s="448">
        <v>0.29842999999999997</v>
      </c>
      <c r="P38" s="344">
        <f t="shared" si="10"/>
        <v>408.88</v>
      </c>
      <c r="Q38" s="398">
        <f t="shared" ref="Q38" si="84">N38+P38</f>
        <v>1779</v>
      </c>
      <c r="R38" s="428">
        <f t="shared" si="14"/>
        <v>0</v>
      </c>
      <c r="S38" s="374">
        <f t="shared" ref="S38" si="85">ROUND(SUM(Q38:R38),2)</f>
        <v>1779</v>
      </c>
      <c r="T38" s="554"/>
      <c r="U38" s="432" t="s">
        <v>347</v>
      </c>
      <c r="V38" s="540">
        <f t="shared" ref="V38:V60" si="86">F38+G38</f>
        <v>692.64</v>
      </c>
      <c r="W38" s="540">
        <f t="shared" si="11"/>
        <v>263.89999999999998</v>
      </c>
      <c r="X38" s="540"/>
      <c r="Y38" s="540">
        <f t="shared" ref="Y38:Y60" si="87">F38*0.55</f>
        <v>343.20000000000005</v>
      </c>
      <c r="Z38" s="540">
        <f t="shared" ref="Z38:Z60" si="88">F38*0.35</f>
        <v>218.39999999999998</v>
      </c>
      <c r="AA38" s="540">
        <f t="shared" si="16"/>
        <v>0</v>
      </c>
      <c r="AB38" s="540">
        <f t="shared" si="12"/>
        <v>1518.1399999999999</v>
      </c>
      <c r="AC38" s="540">
        <f>(S38-AB38)*20%</f>
        <v>52.172000000000025</v>
      </c>
      <c r="AD38" s="541">
        <f>S38-AB38-AC38</f>
        <v>208.6880000000001</v>
      </c>
      <c r="AE38" s="542"/>
      <c r="AF38" s="543">
        <f t="shared" si="35"/>
        <v>0</v>
      </c>
      <c r="AH38" s="533"/>
    </row>
    <row r="39" spans="1:34" ht="42.75" customHeight="1" x14ac:dyDescent="0.2">
      <c r="A39" s="404">
        <v>24</v>
      </c>
      <c r="B39" s="407" t="s">
        <v>349</v>
      </c>
      <c r="C39" s="690" t="s">
        <v>238</v>
      </c>
      <c r="D39" s="440">
        <f>40*60</f>
        <v>2400</v>
      </c>
      <c r="E39" s="316">
        <f>'Зарплата за минуту '!AB$34</f>
        <v>0.2863</v>
      </c>
      <c r="F39" s="380">
        <f t="shared" si="81"/>
        <v>687.12</v>
      </c>
      <c r="G39" s="380">
        <f>ROUND(F39*'Дополнительная зп (2)'!E28,2)</f>
        <v>75.58</v>
      </c>
      <c r="H39" s="380">
        <f t="shared" si="38"/>
        <v>290.58999999999997</v>
      </c>
      <c r="I39" s="506">
        <f>ROUND((F39+G39)*Взносы!$B$4,4)</f>
        <v>259.31799999999998</v>
      </c>
      <c r="J39" s="318">
        <f>ROUND((F39+G39)*Взносы!$C$4,4)</f>
        <v>0.76270000000000004</v>
      </c>
      <c r="K39" s="317">
        <f>ROUND((F39+G39)*Взносы!F$4,4)</f>
        <v>30.507999999999999</v>
      </c>
      <c r="L39" s="507">
        <f t="shared" ref="L39:L42" si="89">ROUND((F39+G39)*L$9,2)</f>
        <v>455.41</v>
      </c>
      <c r="M39" s="323"/>
      <c r="N39" s="323">
        <f t="shared" ref="N39:N42" si="90">F39+G39+H39+L39+M39</f>
        <v>1508.7</v>
      </c>
      <c r="O39" s="448">
        <v>0.29847000000000001</v>
      </c>
      <c r="P39" s="323">
        <f t="shared" si="10"/>
        <v>450.3</v>
      </c>
      <c r="Q39" s="390">
        <f t="shared" ref="Q39:Q42" si="91">N39+P39</f>
        <v>1959</v>
      </c>
      <c r="R39" s="426">
        <f t="shared" si="14"/>
        <v>0</v>
      </c>
      <c r="S39" s="342">
        <f t="shared" ref="S39:S42" si="92">ROUND(SUM(Q39:R39),2)</f>
        <v>1959</v>
      </c>
      <c r="T39" s="554"/>
      <c r="U39" s="689" t="s">
        <v>285</v>
      </c>
      <c r="V39" s="540">
        <f t="shared" si="86"/>
        <v>762.7</v>
      </c>
      <c r="W39" s="540">
        <f t="shared" si="11"/>
        <v>290.58999999999997</v>
      </c>
      <c r="X39" s="540"/>
      <c r="Y39" s="540">
        <f t="shared" si="87"/>
        <v>377.91600000000005</v>
      </c>
      <c r="Z39" s="540">
        <f t="shared" si="88"/>
        <v>240.49199999999999</v>
      </c>
      <c r="AA39" s="540">
        <f t="shared" si="16"/>
        <v>0</v>
      </c>
      <c r="AB39" s="540">
        <f t="shared" si="12"/>
        <v>1671.6980000000001</v>
      </c>
      <c r="AC39" s="540">
        <f>(S39-AB39)*20%</f>
        <v>57.460399999999986</v>
      </c>
      <c r="AD39" s="541">
        <f>S39-AB39-AC39</f>
        <v>229.84159999999991</v>
      </c>
      <c r="AE39" s="542"/>
      <c r="AF39" s="543">
        <f t="shared" si="35"/>
        <v>0</v>
      </c>
      <c r="AH39" s="533"/>
    </row>
    <row r="40" spans="1:34" ht="33" customHeight="1" x14ac:dyDescent="0.2">
      <c r="A40" s="404">
        <v>25</v>
      </c>
      <c r="B40" s="407" t="s">
        <v>350</v>
      </c>
      <c r="C40" s="691"/>
      <c r="D40" s="440">
        <f>40*60</f>
        <v>2400</v>
      </c>
      <c r="E40" s="316">
        <f>'Зарплата за минуту '!AB$34</f>
        <v>0.2863</v>
      </c>
      <c r="F40" s="380">
        <f t="shared" si="81"/>
        <v>687.12</v>
      </c>
      <c r="G40" s="380">
        <f>ROUND(F40*'Дополнительная зп (2)'!E28,2)</f>
        <v>75.58</v>
      </c>
      <c r="H40" s="380">
        <f t="shared" si="38"/>
        <v>290.58999999999997</v>
      </c>
      <c r="I40" s="506">
        <f>ROUND((F40+G40)*Взносы!$B$4,4)</f>
        <v>259.31799999999998</v>
      </c>
      <c r="J40" s="318">
        <f>ROUND((F40+G40)*Взносы!$C$4,4)</f>
        <v>0.76270000000000004</v>
      </c>
      <c r="K40" s="317">
        <f>ROUND((F40+G40)*Взносы!F$4,4)</f>
        <v>30.507999999999999</v>
      </c>
      <c r="L40" s="507">
        <f t="shared" si="89"/>
        <v>455.41</v>
      </c>
      <c r="M40" s="323"/>
      <c r="N40" s="323">
        <f t="shared" si="90"/>
        <v>1508.7</v>
      </c>
      <c r="O40" s="448">
        <v>0.29847000000000001</v>
      </c>
      <c r="P40" s="323">
        <f t="shared" si="10"/>
        <v>450.3</v>
      </c>
      <c r="Q40" s="390">
        <f t="shared" si="91"/>
        <v>1959</v>
      </c>
      <c r="R40" s="426">
        <f t="shared" si="14"/>
        <v>0</v>
      </c>
      <c r="S40" s="342">
        <f t="shared" si="92"/>
        <v>1959</v>
      </c>
      <c r="T40" s="554"/>
      <c r="U40" s="689"/>
      <c r="V40" s="540">
        <f t="shared" si="86"/>
        <v>762.7</v>
      </c>
      <c r="W40" s="540">
        <f t="shared" si="11"/>
        <v>290.58999999999997</v>
      </c>
      <c r="X40" s="540"/>
      <c r="Y40" s="540">
        <f t="shared" si="87"/>
        <v>377.91600000000005</v>
      </c>
      <c r="Z40" s="540">
        <f t="shared" si="88"/>
        <v>240.49199999999999</v>
      </c>
      <c r="AA40" s="540">
        <f t="shared" si="16"/>
        <v>0</v>
      </c>
      <c r="AB40" s="540">
        <f t="shared" si="12"/>
        <v>1671.6980000000001</v>
      </c>
      <c r="AC40" s="540">
        <f>(S40-AB40)*20%</f>
        <v>57.460399999999986</v>
      </c>
      <c r="AD40" s="541">
        <f>S40-AB40-AC40</f>
        <v>229.84159999999991</v>
      </c>
      <c r="AE40" s="542"/>
      <c r="AF40" s="543">
        <f t="shared" si="35"/>
        <v>0</v>
      </c>
      <c r="AH40" s="533"/>
    </row>
    <row r="41" spans="1:34" ht="31.5" customHeight="1" x14ac:dyDescent="0.2">
      <c r="A41" s="405">
        <v>26</v>
      </c>
      <c r="B41" s="407" t="s">
        <v>351</v>
      </c>
      <c r="C41" s="691"/>
      <c r="D41" s="440">
        <f>40*60</f>
        <v>2400</v>
      </c>
      <c r="E41" s="316">
        <f>'Зарплата за минуту '!AB$34</f>
        <v>0.2863</v>
      </c>
      <c r="F41" s="380">
        <f t="shared" si="81"/>
        <v>687.12</v>
      </c>
      <c r="G41" s="380">
        <f>ROUND(F41*'Дополнительная зп (2)'!E28,2)</f>
        <v>75.58</v>
      </c>
      <c r="H41" s="380">
        <f t="shared" si="38"/>
        <v>290.58999999999997</v>
      </c>
      <c r="I41" s="506">
        <f>ROUND((F41+G41)*Взносы!$B$4,4)</f>
        <v>259.31799999999998</v>
      </c>
      <c r="J41" s="318">
        <f>ROUND((F41+G41)*Взносы!$C$4,4)</f>
        <v>0.76270000000000004</v>
      </c>
      <c r="K41" s="317">
        <f>ROUND((F41+G41)*Взносы!F$4,4)</f>
        <v>30.507999999999999</v>
      </c>
      <c r="L41" s="507">
        <f t="shared" si="89"/>
        <v>455.41</v>
      </c>
      <c r="M41" s="323"/>
      <c r="N41" s="323">
        <f t="shared" si="90"/>
        <v>1508.7</v>
      </c>
      <c r="O41" s="448">
        <v>0.29847000000000001</v>
      </c>
      <c r="P41" s="323">
        <f t="shared" si="10"/>
        <v>450.3</v>
      </c>
      <c r="Q41" s="390">
        <f t="shared" si="91"/>
        <v>1959</v>
      </c>
      <c r="R41" s="426">
        <f t="shared" si="14"/>
        <v>0</v>
      </c>
      <c r="S41" s="342">
        <f t="shared" si="92"/>
        <v>1959</v>
      </c>
      <c r="T41" s="554"/>
      <c r="U41" s="689"/>
      <c r="V41" s="540">
        <f t="shared" si="86"/>
        <v>762.7</v>
      </c>
      <c r="W41" s="540">
        <f t="shared" si="11"/>
        <v>290.58999999999997</v>
      </c>
      <c r="X41" s="540"/>
      <c r="Y41" s="540">
        <f t="shared" si="87"/>
        <v>377.91600000000005</v>
      </c>
      <c r="Z41" s="540">
        <f t="shared" si="88"/>
        <v>240.49199999999999</v>
      </c>
      <c r="AA41" s="540">
        <f t="shared" si="16"/>
        <v>0</v>
      </c>
      <c r="AB41" s="540">
        <f t="shared" si="12"/>
        <v>1671.6980000000001</v>
      </c>
      <c r="AC41" s="540">
        <f>(S41-AB41)*20%</f>
        <v>57.460399999999986</v>
      </c>
      <c r="AD41" s="541">
        <f>S41-AB41-AC41</f>
        <v>229.84159999999991</v>
      </c>
      <c r="AE41" s="542"/>
      <c r="AF41" s="543">
        <f t="shared" si="35"/>
        <v>0</v>
      </c>
      <c r="AH41" s="533"/>
    </row>
    <row r="42" spans="1:34" ht="67.5" customHeight="1" x14ac:dyDescent="0.2">
      <c r="A42" s="406">
        <v>27</v>
      </c>
      <c r="B42" s="409" t="s">
        <v>352</v>
      </c>
      <c r="C42" s="692"/>
      <c r="D42" s="440">
        <f>40*60</f>
        <v>2400</v>
      </c>
      <c r="E42" s="319">
        <f>'Зарплата за минуту '!AB$34</f>
        <v>0.2863</v>
      </c>
      <c r="F42" s="352">
        <f t="shared" si="81"/>
        <v>687.12</v>
      </c>
      <c r="G42" s="352">
        <f>ROUND(F42*'Дополнительная зп (2)'!E28,2)</f>
        <v>75.58</v>
      </c>
      <c r="H42" s="352">
        <f t="shared" si="38"/>
        <v>290.58999999999997</v>
      </c>
      <c r="I42" s="500">
        <f>ROUND((F42+G42)*Взносы!$B$4,4)</f>
        <v>259.31799999999998</v>
      </c>
      <c r="J42" s="321">
        <f>ROUND((F42+G42)*Взносы!$C$4,4)</f>
        <v>0.76270000000000004</v>
      </c>
      <c r="K42" s="320">
        <f>ROUND((F42+G42)*Взносы!F$4,4)</f>
        <v>30.507999999999999</v>
      </c>
      <c r="L42" s="501">
        <f t="shared" si="89"/>
        <v>455.41</v>
      </c>
      <c r="M42" s="327"/>
      <c r="N42" s="327">
        <f t="shared" si="90"/>
        <v>1508.7</v>
      </c>
      <c r="O42" s="448">
        <v>0.29847000000000001</v>
      </c>
      <c r="P42" s="327">
        <f t="shared" si="10"/>
        <v>450.3</v>
      </c>
      <c r="Q42" s="392">
        <f t="shared" si="91"/>
        <v>1959</v>
      </c>
      <c r="R42" s="423">
        <f t="shared" si="14"/>
        <v>0</v>
      </c>
      <c r="S42" s="350">
        <f t="shared" si="92"/>
        <v>1959</v>
      </c>
      <c r="T42" s="554"/>
      <c r="U42" s="689"/>
      <c r="V42" s="540">
        <f t="shared" si="86"/>
        <v>762.7</v>
      </c>
      <c r="W42" s="540">
        <f t="shared" si="11"/>
        <v>290.58999999999997</v>
      </c>
      <c r="X42" s="540"/>
      <c r="Y42" s="540">
        <f t="shared" si="87"/>
        <v>377.91600000000005</v>
      </c>
      <c r="Z42" s="540">
        <f t="shared" si="88"/>
        <v>240.49199999999999</v>
      </c>
      <c r="AA42" s="540">
        <f t="shared" si="16"/>
        <v>0</v>
      </c>
      <c r="AB42" s="540">
        <f t="shared" si="12"/>
        <v>1671.6980000000001</v>
      </c>
      <c r="AC42" s="540">
        <f>(S42-AB42)*20%</f>
        <v>57.460399999999986</v>
      </c>
      <c r="AD42" s="541">
        <f>S42-AB42-AC42</f>
        <v>229.84159999999991</v>
      </c>
      <c r="AE42" s="542"/>
      <c r="AF42" s="543">
        <f t="shared" si="35"/>
        <v>0</v>
      </c>
      <c r="AH42" s="533"/>
    </row>
    <row r="43" spans="1:34" s="372" customFormat="1" ht="15" hidden="1" x14ac:dyDescent="0.2">
      <c r="A43" s="704" t="s">
        <v>353</v>
      </c>
      <c r="B43" s="705"/>
      <c r="C43" s="705"/>
      <c r="D43" s="705"/>
      <c r="E43" s="705"/>
      <c r="F43" s="705"/>
      <c r="G43" s="705"/>
      <c r="H43" s="705"/>
      <c r="I43" s="705"/>
      <c r="J43" s="705"/>
      <c r="K43" s="705"/>
      <c r="L43" s="705"/>
      <c r="M43" s="705"/>
      <c r="N43" s="705"/>
      <c r="O43" s="705"/>
      <c r="P43" s="705"/>
      <c r="Q43" s="705"/>
      <c r="R43" s="706"/>
      <c r="S43" s="389">
        <f>SUM(S38:S42)</f>
        <v>9615</v>
      </c>
      <c r="T43" s="555"/>
      <c r="U43" s="431"/>
      <c r="V43" s="540">
        <f t="shared" si="86"/>
        <v>0</v>
      </c>
      <c r="W43" s="540">
        <f t="shared" si="11"/>
        <v>0</v>
      </c>
      <c r="X43" s="540"/>
      <c r="Y43" s="540">
        <f t="shared" si="87"/>
        <v>0</v>
      </c>
      <c r="Z43" s="540">
        <f t="shared" si="88"/>
        <v>0</v>
      </c>
      <c r="AA43" s="540">
        <f t="shared" si="16"/>
        <v>0</v>
      </c>
      <c r="AB43" s="540">
        <f t="shared" si="12"/>
        <v>0</v>
      </c>
      <c r="AC43" s="540"/>
      <c r="AD43" s="541"/>
      <c r="AE43" s="542"/>
      <c r="AF43" s="543" t="e">
        <f t="shared" si="35"/>
        <v>#DIV/0!</v>
      </c>
      <c r="AH43" s="533"/>
    </row>
    <row r="44" spans="1:34" ht="63.75" x14ac:dyDescent="0.2">
      <c r="A44" s="613">
        <v>28</v>
      </c>
      <c r="B44" s="408" t="s">
        <v>354</v>
      </c>
      <c r="C44" s="683" t="str">
        <f>'Зарплата за минуту '!B36</f>
        <v>Врач лучевой диагностики</v>
      </c>
      <c r="D44" s="440">
        <f t="shared" ref="D44:D54" si="93">40*60</f>
        <v>2400</v>
      </c>
      <c r="E44" s="312">
        <f>'Зарплата за минуту '!AB36</f>
        <v>0.22239999999999999</v>
      </c>
      <c r="F44" s="351">
        <f t="shared" ref="F44:F46" si="94">D44*E44</f>
        <v>533.76</v>
      </c>
      <c r="G44" s="351">
        <f>ROUND(F44*'Дополнительная зп (2)'!E$30,2)</f>
        <v>42.7</v>
      </c>
      <c r="H44" s="351">
        <f t="shared" si="38"/>
        <v>219.63</v>
      </c>
      <c r="I44" s="325">
        <f>ROUND((F44+G44)*Взносы!$B$4,4)</f>
        <v>195.99639999999999</v>
      </c>
      <c r="J44" s="325">
        <f>ROUND((F44+G44)*Взносы!$C$4,4)</f>
        <v>0.57650000000000001</v>
      </c>
      <c r="K44" s="325">
        <f>ROUND((F44+G44)*Взносы!F$4,4)</f>
        <v>23.058399999999999</v>
      </c>
      <c r="L44" s="325">
        <f t="shared" ref="L44:L47" si="95">ROUND((F44+G44)*L$9,2)</f>
        <v>344.2</v>
      </c>
      <c r="M44" s="325"/>
      <c r="N44" s="325">
        <f t="shared" ref="N44:N47" si="96">F44+G44+H44+L44+M44</f>
        <v>1140.29</v>
      </c>
      <c r="O44" s="448">
        <v>0.29966999999999999</v>
      </c>
      <c r="P44" s="325">
        <f t="shared" si="10"/>
        <v>341.71</v>
      </c>
      <c r="Q44" s="325">
        <f>N44+P44</f>
        <v>1482</v>
      </c>
      <c r="R44" s="313">
        <f t="shared" si="14"/>
        <v>0</v>
      </c>
      <c r="S44" s="326">
        <f t="shared" ref="S44:S47" si="97">ROUND(SUM(Q44:R44),2)</f>
        <v>1482</v>
      </c>
      <c r="T44" s="556"/>
      <c r="U44" s="680" t="s">
        <v>287</v>
      </c>
      <c r="V44" s="540">
        <f t="shared" si="86"/>
        <v>576.46</v>
      </c>
      <c r="W44" s="540">
        <f t="shared" si="11"/>
        <v>219.63</v>
      </c>
      <c r="X44" s="540"/>
      <c r="Y44" s="540">
        <f t="shared" si="87"/>
        <v>293.56800000000004</v>
      </c>
      <c r="Z44" s="540">
        <f t="shared" si="88"/>
        <v>186.81599999999997</v>
      </c>
      <c r="AA44" s="540">
        <f t="shared" si="16"/>
        <v>0</v>
      </c>
      <c r="AB44" s="540">
        <f t="shared" si="12"/>
        <v>1276.4740000000002</v>
      </c>
      <c r="AC44" s="540">
        <f t="shared" ref="AC44:AC54" si="98">(S44-AB44)*20%</f>
        <v>41.105199999999968</v>
      </c>
      <c r="AD44" s="541">
        <f t="shared" ref="AD44:AD54" si="99">S44-AB44-AC44</f>
        <v>164.42079999999987</v>
      </c>
      <c r="AE44" s="542"/>
      <c r="AF44" s="543">
        <f t="shared" si="35"/>
        <v>0</v>
      </c>
      <c r="AH44" s="533"/>
    </row>
    <row r="45" spans="1:34" ht="59.25" customHeight="1" x14ac:dyDescent="0.2">
      <c r="A45" s="322">
        <v>29</v>
      </c>
      <c r="B45" s="407" t="s">
        <v>355</v>
      </c>
      <c r="C45" s="684"/>
      <c r="D45" s="440">
        <f t="shared" si="93"/>
        <v>2400</v>
      </c>
      <c r="E45" s="316">
        <f>'Зарплата за минуту '!AB36</f>
        <v>0.22239999999999999</v>
      </c>
      <c r="F45" s="380">
        <f t="shared" si="94"/>
        <v>533.76</v>
      </c>
      <c r="G45" s="380">
        <f>ROUND(F45*'Дополнительная зп (2)'!E$30,2)</f>
        <v>42.7</v>
      </c>
      <c r="H45" s="380">
        <f t="shared" si="38"/>
        <v>219.63</v>
      </c>
      <c r="I45" s="323">
        <f>ROUND((F45+G45)*Взносы!$B$4,4)</f>
        <v>195.99639999999999</v>
      </c>
      <c r="J45" s="323">
        <f>ROUND((F45+G45)*Взносы!$C$4,4)</f>
        <v>0.57650000000000001</v>
      </c>
      <c r="K45" s="323">
        <f>ROUND((F45+G45)*Взносы!F$4,4)</f>
        <v>23.058399999999999</v>
      </c>
      <c r="L45" s="323">
        <f t="shared" si="95"/>
        <v>344.2</v>
      </c>
      <c r="M45" s="323"/>
      <c r="N45" s="323">
        <f t="shared" si="96"/>
        <v>1140.29</v>
      </c>
      <c r="O45" s="448">
        <v>0.29966999999999999</v>
      </c>
      <c r="P45" s="323">
        <f t="shared" si="10"/>
        <v>341.71</v>
      </c>
      <c r="Q45" s="323">
        <f t="shared" ref="Q45:Q47" si="100">N45+P45</f>
        <v>1482</v>
      </c>
      <c r="R45" s="317">
        <f t="shared" si="14"/>
        <v>0</v>
      </c>
      <c r="S45" s="324">
        <f t="shared" si="97"/>
        <v>1482</v>
      </c>
      <c r="T45" s="556"/>
      <c r="U45" s="680"/>
      <c r="V45" s="540">
        <f t="shared" si="86"/>
        <v>576.46</v>
      </c>
      <c r="W45" s="540">
        <f t="shared" si="11"/>
        <v>219.63</v>
      </c>
      <c r="X45" s="540"/>
      <c r="Y45" s="540">
        <f t="shared" si="87"/>
        <v>293.56800000000004</v>
      </c>
      <c r="Z45" s="540">
        <f t="shared" si="88"/>
        <v>186.81599999999997</v>
      </c>
      <c r="AA45" s="540">
        <f t="shared" si="16"/>
        <v>0</v>
      </c>
      <c r="AB45" s="540">
        <f t="shared" si="12"/>
        <v>1276.4740000000002</v>
      </c>
      <c r="AC45" s="540">
        <f t="shared" si="98"/>
        <v>41.105199999999968</v>
      </c>
      <c r="AD45" s="541">
        <f t="shared" si="99"/>
        <v>164.42079999999987</v>
      </c>
      <c r="AE45" s="542"/>
      <c r="AF45" s="543">
        <f t="shared" si="35"/>
        <v>0</v>
      </c>
      <c r="AH45" s="533"/>
    </row>
    <row r="46" spans="1:34" ht="59.25" customHeight="1" x14ac:dyDescent="0.2">
      <c r="A46" s="410">
        <v>30</v>
      </c>
      <c r="B46" s="411" t="s">
        <v>356</v>
      </c>
      <c r="C46" s="685"/>
      <c r="D46" s="440">
        <f t="shared" si="93"/>
        <v>2400</v>
      </c>
      <c r="E46" s="393">
        <f>'Зарплата за минуту '!AB36</f>
        <v>0.22239999999999999</v>
      </c>
      <c r="F46" s="401">
        <f t="shared" si="94"/>
        <v>533.76</v>
      </c>
      <c r="G46" s="401">
        <f>ROUND(F46*'Дополнительная зп (2)'!E$30,2)</f>
        <v>42.7</v>
      </c>
      <c r="H46" s="401">
        <f t="shared" si="38"/>
        <v>219.63</v>
      </c>
      <c r="I46" s="394">
        <f>ROUND((F46+G46)*Взносы!$B$4,4)</f>
        <v>195.99639999999999</v>
      </c>
      <c r="J46" s="394">
        <f>ROUND((F46+G46)*Взносы!$C$4,4)</f>
        <v>0.57650000000000001</v>
      </c>
      <c r="K46" s="394">
        <f>ROUND((F46+G46)*Взносы!F$4,4)</f>
        <v>23.058399999999999</v>
      </c>
      <c r="L46" s="394">
        <f t="shared" si="95"/>
        <v>344.2</v>
      </c>
      <c r="M46" s="394"/>
      <c r="N46" s="394">
        <f t="shared" si="96"/>
        <v>1140.29</v>
      </c>
      <c r="O46" s="448">
        <v>0.29966999999999999</v>
      </c>
      <c r="P46" s="394">
        <f t="shared" si="10"/>
        <v>341.71</v>
      </c>
      <c r="Q46" s="394">
        <f t="shared" si="100"/>
        <v>1482</v>
      </c>
      <c r="R46" s="396">
        <f t="shared" si="14"/>
        <v>0</v>
      </c>
      <c r="S46" s="412">
        <f t="shared" si="97"/>
        <v>1482</v>
      </c>
      <c r="T46" s="556"/>
      <c r="U46" s="680"/>
      <c r="V46" s="540">
        <f t="shared" si="86"/>
        <v>576.46</v>
      </c>
      <c r="W46" s="540">
        <f t="shared" si="11"/>
        <v>219.63</v>
      </c>
      <c r="X46" s="540"/>
      <c r="Y46" s="540">
        <f t="shared" si="87"/>
        <v>293.56800000000004</v>
      </c>
      <c r="Z46" s="540">
        <f t="shared" si="88"/>
        <v>186.81599999999997</v>
      </c>
      <c r="AA46" s="540">
        <f t="shared" si="16"/>
        <v>0</v>
      </c>
      <c r="AB46" s="540">
        <f t="shared" si="12"/>
        <v>1276.4740000000002</v>
      </c>
      <c r="AC46" s="540">
        <f t="shared" si="98"/>
        <v>41.105199999999968</v>
      </c>
      <c r="AD46" s="541">
        <f t="shared" si="99"/>
        <v>164.42079999999987</v>
      </c>
      <c r="AE46" s="542"/>
      <c r="AF46" s="543">
        <f t="shared" si="35"/>
        <v>0</v>
      </c>
      <c r="AH46" s="533"/>
    </row>
    <row r="47" spans="1:34" ht="84.75" customHeight="1" x14ac:dyDescent="0.2">
      <c r="A47" s="399">
        <v>31</v>
      </c>
      <c r="B47" s="400" t="s">
        <v>357</v>
      </c>
      <c r="C47" s="494" t="str">
        <f>'Зарплата за минуту '!B37</f>
        <v>Врач-рентгенолог
кабинета рентгенокомпьютерной диагностики</v>
      </c>
      <c r="D47" s="443">
        <f t="shared" si="93"/>
        <v>2400</v>
      </c>
      <c r="E47" s="393">
        <f>'Зарплата за минуту '!AB37</f>
        <v>0.2959</v>
      </c>
      <c r="F47" s="401">
        <f>ROUND(D47*E47,2)</f>
        <v>710.16</v>
      </c>
      <c r="G47" s="401">
        <f>ROUND(F47*'Дополнительная зп (2)'!E31,2)</f>
        <v>78.12</v>
      </c>
      <c r="H47" s="401">
        <f t="shared" si="38"/>
        <v>316.10000000000002</v>
      </c>
      <c r="I47" s="394">
        <f>ROUND((F47+G47)*Взносы!$B$4,4)</f>
        <v>268.01519999999999</v>
      </c>
      <c r="J47" s="395">
        <f>ROUND((F47+G47)*Взносы!$C$4,4)</f>
        <v>0.7883</v>
      </c>
      <c r="K47" s="396">
        <f>ROUND((F47+G47)*Взносы!E$4,4)</f>
        <v>47.296799999999998</v>
      </c>
      <c r="L47" s="394">
        <f t="shared" si="95"/>
        <v>470.68</v>
      </c>
      <c r="M47" s="394"/>
      <c r="N47" s="401">
        <f t="shared" si="96"/>
        <v>1575.0600000000002</v>
      </c>
      <c r="O47" s="450">
        <v>0.29899999999999999</v>
      </c>
      <c r="P47" s="401">
        <f t="shared" si="10"/>
        <v>470.94</v>
      </c>
      <c r="Q47" s="402">
        <f t="shared" si="100"/>
        <v>2046.0000000000002</v>
      </c>
      <c r="R47" s="429">
        <f t="shared" si="14"/>
        <v>0</v>
      </c>
      <c r="S47" s="403">
        <f t="shared" si="97"/>
        <v>2046</v>
      </c>
      <c r="T47" s="554"/>
      <c r="U47" s="431" t="s">
        <v>288</v>
      </c>
      <c r="V47" s="540">
        <f t="shared" si="86"/>
        <v>788.28</v>
      </c>
      <c r="W47" s="540">
        <f t="shared" si="11"/>
        <v>316.10000000000002</v>
      </c>
      <c r="X47" s="540"/>
      <c r="Y47" s="540">
        <f t="shared" si="87"/>
        <v>390.58800000000002</v>
      </c>
      <c r="Z47" s="540">
        <f t="shared" si="88"/>
        <v>248.55599999999998</v>
      </c>
      <c r="AA47" s="540">
        <f t="shared" si="16"/>
        <v>0</v>
      </c>
      <c r="AB47" s="540">
        <f t="shared" si="12"/>
        <v>1743.5240000000001</v>
      </c>
      <c r="AC47" s="540">
        <f t="shared" si="98"/>
        <v>60.495199999999983</v>
      </c>
      <c r="AD47" s="541">
        <f t="shared" si="99"/>
        <v>241.9807999999999</v>
      </c>
      <c r="AE47" s="542"/>
      <c r="AF47" s="543">
        <f t="shared" si="35"/>
        <v>0</v>
      </c>
      <c r="AH47" s="533"/>
    </row>
    <row r="48" spans="1:34" ht="66.75" customHeight="1" x14ac:dyDescent="0.2">
      <c r="A48" s="347">
        <v>32</v>
      </c>
      <c r="B48" s="616" t="s">
        <v>358</v>
      </c>
      <c r="C48" s="687" t="str">
        <f>'Зарплата за минуту '!B38</f>
        <v>Врач-рентгенолог
рентгеновского отделения</v>
      </c>
      <c r="D48" s="435">
        <f t="shared" si="93"/>
        <v>2400</v>
      </c>
      <c r="E48" s="312">
        <f>'Зарплата за минуту '!AB38</f>
        <v>0.28949999999999998</v>
      </c>
      <c r="F48" s="351">
        <f>ROUND(D48*E48,2)</f>
        <v>694.8</v>
      </c>
      <c r="G48" s="351">
        <f>ROUND(F48*'Дополнительная зп (2)'!E32,2)</f>
        <v>76.430000000000007</v>
      </c>
      <c r="H48" s="351">
        <f t="shared" si="38"/>
        <v>309.26</v>
      </c>
      <c r="I48" s="325">
        <f>ROUND((F48+G48)*Взносы!$B$4,4)</f>
        <v>262.21820000000002</v>
      </c>
      <c r="J48" s="325">
        <f>ROUND((F48+G48)*Взносы!$C$4,4)</f>
        <v>0.7712</v>
      </c>
      <c r="K48" s="325">
        <f>ROUND((F48+G48)*Взносы!E$4,4)</f>
        <v>46.273800000000001</v>
      </c>
      <c r="L48" s="325">
        <f>ROUND((F48+G48)*L$9,2)</f>
        <v>460.5</v>
      </c>
      <c r="M48" s="325"/>
      <c r="N48" s="325">
        <f>F48+G48+H48+L48+M48</f>
        <v>1540.99</v>
      </c>
      <c r="O48" s="444">
        <v>0.29851800000000001</v>
      </c>
      <c r="P48" s="325">
        <f t="shared" si="10"/>
        <v>460.01</v>
      </c>
      <c r="Q48" s="364">
        <f>N48+P48</f>
        <v>2001</v>
      </c>
      <c r="R48" s="422">
        <f>ROUND(Q48*R$9,2)</f>
        <v>0</v>
      </c>
      <c r="S48" s="370">
        <f>ROUND(SUM(Q48:R48),2)</f>
        <v>2001</v>
      </c>
      <c r="T48" s="553"/>
      <c r="U48" s="680" t="s">
        <v>290</v>
      </c>
      <c r="V48" s="540">
        <f t="shared" si="86"/>
        <v>771.23</v>
      </c>
      <c r="W48" s="540">
        <f t="shared" si="11"/>
        <v>309.26</v>
      </c>
      <c r="X48" s="540"/>
      <c r="Y48" s="540">
        <f t="shared" si="87"/>
        <v>382.14</v>
      </c>
      <c r="Z48" s="540">
        <f t="shared" si="88"/>
        <v>243.17999999999998</v>
      </c>
      <c r="AA48" s="540">
        <f t="shared" si="16"/>
        <v>0</v>
      </c>
      <c r="AB48" s="540">
        <f t="shared" si="12"/>
        <v>1705.8100000000002</v>
      </c>
      <c r="AC48" s="540">
        <f t="shared" si="98"/>
        <v>59.037999999999968</v>
      </c>
      <c r="AD48" s="541">
        <f t="shared" si="99"/>
        <v>236.15199999999987</v>
      </c>
      <c r="AE48" s="542"/>
      <c r="AF48" s="543">
        <f t="shared" si="35"/>
        <v>0</v>
      </c>
      <c r="AH48" s="533"/>
    </row>
    <row r="49" spans="1:34" ht="15" x14ac:dyDescent="0.2">
      <c r="A49" s="348">
        <v>33</v>
      </c>
      <c r="B49" s="617" t="s">
        <v>359</v>
      </c>
      <c r="C49" s="688"/>
      <c r="D49" s="436">
        <f t="shared" si="93"/>
        <v>2400</v>
      </c>
      <c r="E49" s="319">
        <f>'Зарплата за минуту '!AB38</f>
        <v>0.28949999999999998</v>
      </c>
      <c r="F49" s="352">
        <f>ROUND(D49*E49,2)</f>
        <v>694.8</v>
      </c>
      <c r="G49" s="352">
        <f>ROUND(F49*'Дополнительная зп (2)'!E32,2)</f>
        <v>76.430000000000007</v>
      </c>
      <c r="H49" s="352">
        <f t="shared" si="38"/>
        <v>309.26</v>
      </c>
      <c r="I49" s="327">
        <f>ROUND((F49+G49)*Взносы!$B$4,4)</f>
        <v>262.21820000000002</v>
      </c>
      <c r="J49" s="327">
        <f>ROUND((F49+G49)*Взносы!$C$4,4)</f>
        <v>0.7712</v>
      </c>
      <c r="K49" s="327">
        <f>ROUND((F49+G49)*Взносы!E$4,4)</f>
        <v>46.273800000000001</v>
      </c>
      <c r="L49" s="327">
        <f t="shared" ref="L49" si="101">ROUND((F49+G49)*L$9,2)</f>
        <v>460.5</v>
      </c>
      <c r="M49" s="327"/>
      <c r="N49" s="327">
        <f>F49+G49+H49+L49+M49</f>
        <v>1540.99</v>
      </c>
      <c r="O49" s="445">
        <v>0.29851800000000001</v>
      </c>
      <c r="P49" s="327">
        <f t="shared" si="10"/>
        <v>460.01</v>
      </c>
      <c r="Q49" s="349">
        <f>N49+P49</f>
        <v>2001</v>
      </c>
      <c r="R49" s="423">
        <f>ROUND(Q49*R$9,2)</f>
        <v>0</v>
      </c>
      <c r="S49" s="350">
        <f>ROUND(SUM(Q49:R49),2)</f>
        <v>2001</v>
      </c>
      <c r="T49" s="554"/>
      <c r="U49" s="680"/>
      <c r="V49" s="540">
        <f t="shared" si="86"/>
        <v>771.23</v>
      </c>
      <c r="W49" s="540">
        <f t="shared" si="11"/>
        <v>309.26</v>
      </c>
      <c r="X49" s="540"/>
      <c r="Y49" s="540">
        <f t="shared" si="87"/>
        <v>382.14</v>
      </c>
      <c r="Z49" s="540">
        <f t="shared" si="88"/>
        <v>243.17999999999998</v>
      </c>
      <c r="AA49" s="540">
        <f t="shared" si="16"/>
        <v>0</v>
      </c>
      <c r="AB49" s="540">
        <f t="shared" si="12"/>
        <v>1705.8100000000002</v>
      </c>
      <c r="AC49" s="540">
        <f t="shared" si="98"/>
        <v>59.037999999999968</v>
      </c>
      <c r="AD49" s="541">
        <f t="shared" si="99"/>
        <v>236.15199999999987</v>
      </c>
      <c r="AE49" s="542"/>
      <c r="AF49" s="543">
        <f t="shared" si="35"/>
        <v>0</v>
      </c>
      <c r="AH49" s="533"/>
    </row>
    <row r="50" spans="1:34" ht="111" customHeight="1" x14ac:dyDescent="0.2">
      <c r="A50" s="347">
        <v>34</v>
      </c>
      <c r="B50" s="616" t="s">
        <v>360</v>
      </c>
      <c r="C50" s="618" t="str">
        <f>'Зарплата за минуту '!B39</f>
        <v>Врач-функциональной диагностики</v>
      </c>
      <c r="D50" s="435">
        <f t="shared" si="93"/>
        <v>2400</v>
      </c>
      <c r="E50" s="312">
        <f>'Зарплата за минуту '!AB39</f>
        <v>0.1996</v>
      </c>
      <c r="F50" s="351">
        <f>ROUND(D50*E50,2)</f>
        <v>479.04</v>
      </c>
      <c r="G50" s="351">
        <f>ROUND(F50*'Дополнительная зп (2)'!E33,2)</f>
        <v>38.32</v>
      </c>
      <c r="H50" s="351">
        <f t="shared" si="38"/>
        <v>176.42</v>
      </c>
      <c r="I50" s="325">
        <f>ROUND((F50+G50)*Взносы!$B$4,4)</f>
        <v>175.9024</v>
      </c>
      <c r="J50" s="325">
        <f>ROUND((F50+G50)*Взносы!$C$4,4)</f>
        <v>0.51739999999999997</v>
      </c>
      <c r="K50" s="325">
        <v>0</v>
      </c>
      <c r="L50" s="325">
        <f>ROUND((F50+G50)*L$9,2)</f>
        <v>308.92</v>
      </c>
      <c r="M50" s="325"/>
      <c r="N50" s="325">
        <f>F50+G50+H50+L50+M50</f>
        <v>1002.7</v>
      </c>
      <c r="O50" s="444">
        <v>0.29848999999999998</v>
      </c>
      <c r="P50" s="325">
        <f t="shared" si="10"/>
        <v>299.3</v>
      </c>
      <c r="Q50" s="364">
        <f>N50+P50</f>
        <v>1302</v>
      </c>
      <c r="R50" s="422">
        <f>ROUND(Q50*R$9,2)</f>
        <v>0</v>
      </c>
      <c r="S50" s="370">
        <f>ROUND(SUM(Q50:R50),2)</f>
        <v>1302</v>
      </c>
      <c r="T50" s="553"/>
      <c r="U50" s="680" t="s">
        <v>291</v>
      </c>
      <c r="V50" s="540">
        <f t="shared" si="86"/>
        <v>517.36</v>
      </c>
      <c r="W50" s="540">
        <f t="shared" si="11"/>
        <v>176.42</v>
      </c>
      <c r="X50" s="540"/>
      <c r="Y50" s="540">
        <f t="shared" si="87"/>
        <v>263.47200000000004</v>
      </c>
      <c r="Z50" s="540">
        <f t="shared" si="88"/>
        <v>167.66399999999999</v>
      </c>
      <c r="AA50" s="540">
        <f t="shared" si="16"/>
        <v>0</v>
      </c>
      <c r="AB50" s="540">
        <f t="shared" si="12"/>
        <v>1124.9159999999999</v>
      </c>
      <c r="AC50" s="540">
        <f t="shared" si="98"/>
        <v>35.416800000000016</v>
      </c>
      <c r="AD50" s="541">
        <f t="shared" si="99"/>
        <v>141.66720000000004</v>
      </c>
      <c r="AE50" s="542"/>
      <c r="AF50" s="543">
        <f t="shared" si="35"/>
        <v>0</v>
      </c>
      <c r="AH50" s="533"/>
    </row>
    <row r="51" spans="1:34" ht="93.75" customHeight="1" x14ac:dyDescent="0.2">
      <c r="A51" s="348">
        <v>35</v>
      </c>
      <c r="B51" s="617" t="s">
        <v>361</v>
      </c>
      <c r="C51" s="618" t="str">
        <f>'Зарплата за минуту '!B39</f>
        <v>Врач-функциональной диагностики</v>
      </c>
      <c r="D51" s="436">
        <f t="shared" si="93"/>
        <v>2400</v>
      </c>
      <c r="E51" s="319">
        <f>'Зарплата за минуту '!AB39</f>
        <v>0.1996</v>
      </c>
      <c r="F51" s="352">
        <f>ROUND(D51*E51,2)</f>
        <v>479.04</v>
      </c>
      <c r="G51" s="352">
        <f>ROUND(F51*'Дополнительная зп (2)'!E33,2)</f>
        <v>38.32</v>
      </c>
      <c r="H51" s="352">
        <f t="shared" si="38"/>
        <v>176.42</v>
      </c>
      <c r="I51" s="327">
        <f>ROUND((F51+G51)*Взносы!$B$4,4)</f>
        <v>175.9024</v>
      </c>
      <c r="J51" s="327">
        <f>ROUND((F51+G51)*Взносы!$C$4,4)</f>
        <v>0.51739999999999997</v>
      </c>
      <c r="K51" s="327">
        <v>0</v>
      </c>
      <c r="L51" s="327">
        <f t="shared" ref="L51:L54" si="102">ROUND((F51+G51)*L$9,2)</f>
        <v>308.92</v>
      </c>
      <c r="M51" s="327"/>
      <c r="N51" s="327">
        <f>F51+G51+H51+L51+M51</f>
        <v>1002.7</v>
      </c>
      <c r="O51" s="445">
        <v>0.29848999999999998</v>
      </c>
      <c r="P51" s="327">
        <f t="shared" si="10"/>
        <v>299.3</v>
      </c>
      <c r="Q51" s="349">
        <f>N51+P51</f>
        <v>1302</v>
      </c>
      <c r="R51" s="423">
        <f>ROUND(Q51*R$9,2)</f>
        <v>0</v>
      </c>
      <c r="S51" s="350">
        <f>ROUND(SUM(Q51:R51),2)</f>
        <v>1302</v>
      </c>
      <c r="T51" s="554"/>
      <c r="U51" s="680"/>
      <c r="V51" s="540">
        <f t="shared" si="86"/>
        <v>517.36</v>
      </c>
      <c r="W51" s="540">
        <f t="shared" si="11"/>
        <v>176.42</v>
      </c>
      <c r="X51" s="540"/>
      <c r="Y51" s="540">
        <f t="shared" si="87"/>
        <v>263.47200000000004</v>
      </c>
      <c r="Z51" s="540">
        <f t="shared" si="88"/>
        <v>167.66399999999999</v>
      </c>
      <c r="AA51" s="540">
        <f t="shared" si="16"/>
        <v>0</v>
      </c>
      <c r="AB51" s="540">
        <f t="shared" si="12"/>
        <v>1124.9159999999999</v>
      </c>
      <c r="AC51" s="540">
        <f t="shared" si="98"/>
        <v>35.416800000000016</v>
      </c>
      <c r="AD51" s="541">
        <f t="shared" si="99"/>
        <v>141.66720000000004</v>
      </c>
      <c r="AE51" s="542"/>
      <c r="AF51" s="543">
        <f t="shared" si="35"/>
        <v>0</v>
      </c>
      <c r="AH51" s="533"/>
    </row>
    <row r="52" spans="1:34" ht="60.75" customHeight="1" x14ac:dyDescent="0.2">
      <c r="A52" s="613">
        <v>36</v>
      </c>
      <c r="B52" s="408" t="s">
        <v>362</v>
      </c>
      <c r="C52" s="683" t="str">
        <f>'Зарплата за минуту '!B39</f>
        <v>Врач-функциональной диагностики</v>
      </c>
      <c r="D52" s="435">
        <f t="shared" si="93"/>
        <v>2400</v>
      </c>
      <c r="E52" s="312">
        <f>'Зарплата за минуту '!AB40</f>
        <v>0.25109999999999999</v>
      </c>
      <c r="F52" s="351">
        <f t="shared" ref="F52:F54" si="103">D52*E52</f>
        <v>602.64</v>
      </c>
      <c r="G52" s="351">
        <f>ROUND(F52*'Дополнительная зп (2)'!E$34,2)</f>
        <v>54.24</v>
      </c>
      <c r="H52" s="351">
        <f t="shared" si="38"/>
        <v>224</v>
      </c>
      <c r="I52" s="325">
        <f>ROUND((F52+G52)*Взносы!$B$4,4)</f>
        <v>223.33920000000001</v>
      </c>
      <c r="J52" s="325">
        <f>ROUND((F52+G52)*Взносы!$C$4,4)</f>
        <v>0.65690000000000004</v>
      </c>
      <c r="K52" s="325">
        <v>0</v>
      </c>
      <c r="L52" s="325">
        <f t="shared" si="102"/>
        <v>392.22</v>
      </c>
      <c r="M52" s="325"/>
      <c r="N52" s="325">
        <f t="shared" ref="N52:N54" si="104">F52+G52+H52+L52+M52</f>
        <v>1273.0999999999999</v>
      </c>
      <c r="O52" s="444">
        <v>0.29840499999999998</v>
      </c>
      <c r="P52" s="325">
        <f t="shared" si="10"/>
        <v>379.9</v>
      </c>
      <c r="Q52" s="325">
        <f>N52+P52</f>
        <v>1653</v>
      </c>
      <c r="R52" s="313">
        <f t="shared" ref="R52:R54" si="105">ROUND(Q52*R$9,2)</f>
        <v>0</v>
      </c>
      <c r="S52" s="326">
        <f t="shared" ref="S52:S54" si="106">ROUND(SUM(Q52:R52),2)</f>
        <v>1653</v>
      </c>
      <c r="T52" s="556"/>
      <c r="U52" s="680" t="s">
        <v>365</v>
      </c>
      <c r="V52" s="540">
        <f t="shared" si="86"/>
        <v>656.88</v>
      </c>
      <c r="W52" s="540">
        <f t="shared" si="11"/>
        <v>224</v>
      </c>
      <c r="X52" s="540"/>
      <c r="Y52" s="540">
        <f t="shared" si="87"/>
        <v>331.452</v>
      </c>
      <c r="Z52" s="540">
        <f t="shared" si="88"/>
        <v>210.92399999999998</v>
      </c>
      <c r="AA52" s="540">
        <f t="shared" si="16"/>
        <v>0</v>
      </c>
      <c r="AB52" s="540">
        <f t="shared" si="12"/>
        <v>1423.2559999999999</v>
      </c>
      <c r="AC52" s="540">
        <f t="shared" si="98"/>
        <v>45.948800000000034</v>
      </c>
      <c r="AD52" s="541">
        <f t="shared" si="99"/>
        <v>183.79520000000011</v>
      </c>
      <c r="AE52" s="542"/>
      <c r="AF52" s="543">
        <f t="shared" si="35"/>
        <v>0</v>
      </c>
      <c r="AH52" s="533"/>
    </row>
    <row r="53" spans="1:34" ht="46.5" customHeight="1" x14ac:dyDescent="0.2">
      <c r="A53" s="322">
        <v>37</v>
      </c>
      <c r="B53" s="407" t="s">
        <v>363</v>
      </c>
      <c r="C53" s="684"/>
      <c r="D53" s="440">
        <f t="shared" si="93"/>
        <v>2400</v>
      </c>
      <c r="E53" s="316">
        <f>'Зарплата за минуту '!AB40</f>
        <v>0.25109999999999999</v>
      </c>
      <c r="F53" s="380">
        <f t="shared" si="103"/>
        <v>602.64</v>
      </c>
      <c r="G53" s="380">
        <f>ROUND(F53*'Дополнительная зп (2)'!E$34,2)</f>
        <v>54.24</v>
      </c>
      <c r="H53" s="380">
        <f t="shared" si="38"/>
        <v>224</v>
      </c>
      <c r="I53" s="323">
        <f>ROUND((F53+G53)*Взносы!$B$4,4)</f>
        <v>223.33920000000001</v>
      </c>
      <c r="J53" s="323">
        <f>ROUND((F53+G53)*Взносы!$C$4,4)</f>
        <v>0.65690000000000004</v>
      </c>
      <c r="K53" s="323">
        <v>0</v>
      </c>
      <c r="L53" s="323">
        <f t="shared" si="102"/>
        <v>392.22</v>
      </c>
      <c r="M53" s="323"/>
      <c r="N53" s="323">
        <f t="shared" si="104"/>
        <v>1273.0999999999999</v>
      </c>
      <c r="O53" s="448">
        <v>0.29840499999999998</v>
      </c>
      <c r="P53" s="323">
        <f t="shared" si="10"/>
        <v>379.9</v>
      </c>
      <c r="Q53" s="323">
        <f t="shared" ref="Q53:Q54" si="107">N53+P53</f>
        <v>1653</v>
      </c>
      <c r="R53" s="317">
        <f t="shared" si="105"/>
        <v>0</v>
      </c>
      <c r="S53" s="324">
        <f t="shared" si="106"/>
        <v>1653</v>
      </c>
      <c r="T53" s="556"/>
      <c r="U53" s="680"/>
      <c r="V53" s="540">
        <f t="shared" si="86"/>
        <v>656.88</v>
      </c>
      <c r="W53" s="540">
        <f t="shared" si="11"/>
        <v>224</v>
      </c>
      <c r="X53" s="540"/>
      <c r="Y53" s="540">
        <f t="shared" si="87"/>
        <v>331.452</v>
      </c>
      <c r="Z53" s="540">
        <f t="shared" si="88"/>
        <v>210.92399999999998</v>
      </c>
      <c r="AA53" s="540">
        <f t="shared" si="16"/>
        <v>0</v>
      </c>
      <c r="AB53" s="540">
        <f t="shared" si="12"/>
        <v>1423.2559999999999</v>
      </c>
      <c r="AC53" s="540">
        <f t="shared" si="98"/>
        <v>45.948800000000034</v>
      </c>
      <c r="AD53" s="541">
        <f t="shared" si="99"/>
        <v>183.79520000000011</v>
      </c>
      <c r="AE53" s="542"/>
      <c r="AF53" s="543">
        <f t="shared" si="35"/>
        <v>0</v>
      </c>
      <c r="AH53" s="533"/>
    </row>
    <row r="54" spans="1:34" ht="42" customHeight="1" x14ac:dyDescent="0.2">
      <c r="A54" s="614">
        <v>38</v>
      </c>
      <c r="B54" s="409" t="s">
        <v>364</v>
      </c>
      <c r="C54" s="686"/>
      <c r="D54" s="438">
        <f t="shared" si="93"/>
        <v>2400</v>
      </c>
      <c r="E54" s="319">
        <f>'Зарплата за минуту '!AB40</f>
        <v>0.25109999999999999</v>
      </c>
      <c r="F54" s="352">
        <f t="shared" si="103"/>
        <v>602.64</v>
      </c>
      <c r="G54" s="352">
        <f>ROUND(F54*'Дополнительная зп (2)'!E$34,2)</f>
        <v>54.24</v>
      </c>
      <c r="H54" s="352">
        <f t="shared" si="38"/>
        <v>224</v>
      </c>
      <c r="I54" s="327">
        <f>ROUND((F54+G54)*Взносы!$B$4,4)</f>
        <v>223.33920000000001</v>
      </c>
      <c r="J54" s="327">
        <f>ROUND((F54+G54)*Взносы!$C$4,4)</f>
        <v>0.65690000000000004</v>
      </c>
      <c r="K54" s="327">
        <v>0</v>
      </c>
      <c r="L54" s="327">
        <f t="shared" si="102"/>
        <v>392.22</v>
      </c>
      <c r="M54" s="327"/>
      <c r="N54" s="327">
        <f t="shared" si="104"/>
        <v>1273.0999999999999</v>
      </c>
      <c r="O54" s="445">
        <v>0.29840499999999998</v>
      </c>
      <c r="P54" s="327">
        <f t="shared" si="10"/>
        <v>379.9</v>
      </c>
      <c r="Q54" s="327">
        <f t="shared" si="107"/>
        <v>1653</v>
      </c>
      <c r="R54" s="320">
        <f t="shared" si="105"/>
        <v>0</v>
      </c>
      <c r="S54" s="328">
        <f t="shared" si="106"/>
        <v>1653</v>
      </c>
      <c r="T54" s="556"/>
      <c r="U54" s="680"/>
      <c r="V54" s="540">
        <f t="shared" si="86"/>
        <v>656.88</v>
      </c>
      <c r="W54" s="540">
        <f t="shared" si="11"/>
        <v>224</v>
      </c>
      <c r="X54" s="540"/>
      <c r="Y54" s="540">
        <f t="shared" si="87"/>
        <v>331.452</v>
      </c>
      <c r="Z54" s="540">
        <f t="shared" si="88"/>
        <v>210.92399999999998</v>
      </c>
      <c r="AA54" s="540">
        <f t="shared" si="16"/>
        <v>0</v>
      </c>
      <c r="AB54" s="540">
        <f t="shared" si="12"/>
        <v>1423.2559999999999</v>
      </c>
      <c r="AC54" s="540">
        <f t="shared" si="98"/>
        <v>45.948800000000034</v>
      </c>
      <c r="AD54" s="541">
        <f t="shared" si="99"/>
        <v>183.79520000000011</v>
      </c>
      <c r="AE54" s="542"/>
      <c r="AF54" s="543">
        <f t="shared" si="35"/>
        <v>0</v>
      </c>
      <c r="AH54" s="533"/>
    </row>
    <row r="55" spans="1:34" s="372" customFormat="1" ht="15" hidden="1" x14ac:dyDescent="0.2">
      <c r="A55" s="704" t="s">
        <v>366</v>
      </c>
      <c r="B55" s="705"/>
      <c r="C55" s="705"/>
      <c r="D55" s="705"/>
      <c r="E55" s="705"/>
      <c r="F55" s="705"/>
      <c r="G55" s="705"/>
      <c r="H55" s="705">
        <f t="shared" si="38"/>
        <v>0</v>
      </c>
      <c r="I55" s="705"/>
      <c r="J55" s="705"/>
      <c r="K55" s="705"/>
      <c r="L55" s="705"/>
      <c r="M55" s="705"/>
      <c r="N55" s="705"/>
      <c r="O55" s="705"/>
      <c r="P55" s="705">
        <f t="shared" si="10"/>
        <v>0</v>
      </c>
      <c r="Q55" s="705"/>
      <c r="R55" s="706"/>
      <c r="S55" s="389">
        <f>SUM(S44:S54)</f>
        <v>18057</v>
      </c>
      <c r="T55" s="555"/>
      <c r="U55" s="431"/>
      <c r="V55" s="540">
        <f t="shared" si="86"/>
        <v>0</v>
      </c>
      <c r="W55" s="540">
        <f t="shared" si="11"/>
        <v>0</v>
      </c>
      <c r="X55" s="540"/>
      <c r="Y55" s="540">
        <f t="shared" si="87"/>
        <v>0</v>
      </c>
      <c r="Z55" s="540">
        <f t="shared" si="88"/>
        <v>0</v>
      </c>
      <c r="AA55" s="540">
        <f t="shared" si="16"/>
        <v>0</v>
      </c>
      <c r="AB55" s="540">
        <f t="shared" si="12"/>
        <v>0</v>
      </c>
      <c r="AC55" s="540"/>
      <c r="AD55" s="541"/>
      <c r="AE55" s="542"/>
      <c r="AF55" s="543"/>
      <c r="AH55" s="533"/>
    </row>
    <row r="56" spans="1:34" ht="29.25" hidden="1" customHeight="1" x14ac:dyDescent="0.2">
      <c r="A56" s="391">
        <v>38</v>
      </c>
      <c r="B56" s="353" t="s">
        <v>367</v>
      </c>
      <c r="C56" s="512" t="s">
        <v>372</v>
      </c>
      <c r="D56" s="440">
        <f>40*60</f>
        <v>2400</v>
      </c>
      <c r="E56" s="316"/>
      <c r="F56" s="380"/>
      <c r="G56" s="380"/>
      <c r="H56" s="380">
        <f t="shared" si="38"/>
        <v>0</v>
      </c>
      <c r="I56" s="506"/>
      <c r="J56" s="318"/>
      <c r="K56" s="317"/>
      <c r="L56" s="507"/>
      <c r="M56" s="323"/>
      <c r="N56" s="323"/>
      <c r="O56" s="448"/>
      <c r="P56" s="323">
        <f t="shared" si="10"/>
        <v>0</v>
      </c>
      <c r="Q56" s="390"/>
      <c r="R56" s="426">
        <f t="shared" ref="R56:R60" si="108">ROUND(Q56*R$9,2)</f>
        <v>0</v>
      </c>
      <c r="S56" s="342">
        <f t="shared" ref="S56:S60" si="109">ROUND(SUM(Q56:R56),2)</f>
        <v>0</v>
      </c>
      <c r="T56" s="554"/>
      <c r="U56" s="431"/>
      <c r="V56" s="540">
        <f t="shared" si="86"/>
        <v>0</v>
      </c>
      <c r="W56" s="540">
        <f t="shared" si="11"/>
        <v>0</v>
      </c>
      <c r="X56" s="540"/>
      <c r="Y56" s="540">
        <f t="shared" si="87"/>
        <v>0</v>
      </c>
      <c r="Z56" s="540">
        <f t="shared" si="88"/>
        <v>0</v>
      </c>
      <c r="AA56" s="540">
        <f t="shared" si="16"/>
        <v>0</v>
      </c>
      <c r="AB56" s="540">
        <f t="shared" si="12"/>
        <v>0</v>
      </c>
      <c r="AC56" s="540">
        <f>(S56-AB56)*20%</f>
        <v>0</v>
      </c>
      <c r="AD56" s="541">
        <f>S56-AB56-AC56</f>
        <v>0</v>
      </c>
      <c r="AE56" s="542"/>
      <c r="AF56" s="543" t="e">
        <f t="shared" si="35"/>
        <v>#DIV/0!</v>
      </c>
      <c r="AH56" s="533"/>
    </row>
    <row r="57" spans="1:34" ht="125.25" customHeight="1" x14ac:dyDescent="0.2">
      <c r="A57" s="391">
        <v>39</v>
      </c>
      <c r="B57" s="353" t="s">
        <v>368</v>
      </c>
      <c r="C57" s="492" t="str">
        <f>'Зарплата за минуту '!B43</f>
        <v>Медицинская сестра-анестезист</v>
      </c>
      <c r="D57" s="440">
        <f>40*60</f>
        <v>2400</v>
      </c>
      <c r="E57" s="316">
        <f>'Зарплата за минуту '!AB43</f>
        <v>0.18790000000000001</v>
      </c>
      <c r="F57" s="380">
        <f t="shared" ref="F57:F60" si="110">ROUND(D57*E57,2)</f>
        <v>450.96</v>
      </c>
      <c r="G57" s="380">
        <f>ROUND(F57*'Дополнительная зп (2)'!E37,2)</f>
        <v>36.08</v>
      </c>
      <c r="H57" s="380">
        <f t="shared" si="38"/>
        <v>185.56</v>
      </c>
      <c r="I57" s="506">
        <f>ROUND((F57+G57)*Взносы!$B$4,4)</f>
        <v>165.59360000000001</v>
      </c>
      <c r="J57" s="318">
        <f>ROUND((F57+G57)*Взносы!$C$4,4)</f>
        <v>0.48699999999999999</v>
      </c>
      <c r="K57" s="317">
        <f>ROUND((F57+G57)*Взносы!F$4,4)</f>
        <v>19.4816</v>
      </c>
      <c r="L57" s="507">
        <f t="shared" ref="L57:L60" si="111">ROUND((F57+G57)*L$9,2)</f>
        <v>290.81</v>
      </c>
      <c r="M57" s="323"/>
      <c r="N57" s="323">
        <f t="shared" ref="N57:N60" si="112">F57+G57+H57+L57+M57</f>
        <v>963.40999999999985</v>
      </c>
      <c r="O57" s="448">
        <v>0.29851</v>
      </c>
      <c r="P57" s="323">
        <f t="shared" si="10"/>
        <v>287.58999999999997</v>
      </c>
      <c r="Q57" s="390">
        <f t="shared" ref="Q57:Q60" si="113">N57+P57</f>
        <v>1250.9999999999998</v>
      </c>
      <c r="R57" s="426">
        <f t="shared" si="108"/>
        <v>0</v>
      </c>
      <c r="S57" s="342">
        <f t="shared" si="109"/>
        <v>1251</v>
      </c>
      <c r="T57" s="554"/>
      <c r="U57" s="337" t="str">
        <f>'Зарплата за минуту '!AC43</f>
        <v>Лысуха Л.Н. оар 1</v>
      </c>
      <c r="V57" s="540">
        <f t="shared" si="86"/>
        <v>487.03999999999996</v>
      </c>
      <c r="W57" s="540">
        <f t="shared" si="11"/>
        <v>185.56</v>
      </c>
      <c r="X57" s="540"/>
      <c r="Y57" s="540">
        <f t="shared" si="87"/>
        <v>248.02800000000002</v>
      </c>
      <c r="Z57" s="540">
        <f t="shared" si="88"/>
        <v>157.83599999999998</v>
      </c>
      <c r="AA57" s="540">
        <f t="shared" si="16"/>
        <v>0</v>
      </c>
      <c r="AB57" s="540">
        <f t="shared" si="12"/>
        <v>1078.4639999999999</v>
      </c>
      <c r="AC57" s="540">
        <f>(S57-AB57)*20%</f>
        <v>34.507200000000012</v>
      </c>
      <c r="AD57" s="541">
        <f>S57-AB57-AC57</f>
        <v>138.02880000000005</v>
      </c>
      <c r="AE57" s="542"/>
      <c r="AF57" s="543">
        <f t="shared" si="35"/>
        <v>0</v>
      </c>
      <c r="AH57" s="533"/>
    </row>
    <row r="58" spans="1:34" ht="120.75" customHeight="1" x14ac:dyDescent="0.2">
      <c r="A58" s="391">
        <v>40</v>
      </c>
      <c r="B58" s="353" t="s">
        <v>369</v>
      </c>
      <c r="C58" s="492" t="str">
        <f>'Зарплата за минуту '!B44</f>
        <v>Медицинская сестра  централизованного стерилизационного отделения</v>
      </c>
      <c r="D58" s="440">
        <f>40*60</f>
        <v>2400</v>
      </c>
      <c r="E58" s="316">
        <f>'Зарплата за минуту '!AB44</f>
        <v>0.1439</v>
      </c>
      <c r="F58" s="380">
        <f t="shared" si="110"/>
        <v>345.36</v>
      </c>
      <c r="G58" s="380">
        <f>ROUND(F58*'Дополнительная зп (2)'!E38,2)</f>
        <v>24.18</v>
      </c>
      <c r="H58" s="380">
        <f t="shared" si="38"/>
        <v>126.01</v>
      </c>
      <c r="I58" s="506">
        <f>ROUND((F58+G58)*Взносы!$B$4,4)</f>
        <v>125.64360000000001</v>
      </c>
      <c r="J58" s="318">
        <f>ROUND((F58+G58)*Взносы!$C$4,4)</f>
        <v>0.3695</v>
      </c>
      <c r="K58" s="317">
        <v>0</v>
      </c>
      <c r="L58" s="507">
        <f t="shared" si="111"/>
        <v>220.65</v>
      </c>
      <c r="M58" s="323"/>
      <c r="N58" s="323">
        <f t="shared" si="112"/>
        <v>716.2</v>
      </c>
      <c r="O58" s="448">
        <v>0.29852000000000001</v>
      </c>
      <c r="P58" s="323">
        <f t="shared" si="10"/>
        <v>213.8</v>
      </c>
      <c r="Q58" s="390">
        <f t="shared" si="113"/>
        <v>930</v>
      </c>
      <c r="R58" s="426">
        <f t="shared" si="108"/>
        <v>0</v>
      </c>
      <c r="S58" s="342">
        <f t="shared" si="109"/>
        <v>930</v>
      </c>
      <c r="T58" s="554"/>
      <c r="U58" s="337" t="str">
        <f>'Зарплата за минуту '!AC44</f>
        <v>антонович</v>
      </c>
      <c r="V58" s="540">
        <f t="shared" si="86"/>
        <v>369.54</v>
      </c>
      <c r="W58" s="540">
        <f t="shared" si="11"/>
        <v>126.01</v>
      </c>
      <c r="X58" s="540"/>
      <c r="Y58" s="540">
        <f t="shared" si="87"/>
        <v>189.94800000000004</v>
      </c>
      <c r="Z58" s="540">
        <f t="shared" si="88"/>
        <v>120.87599999999999</v>
      </c>
      <c r="AA58" s="540">
        <f t="shared" si="16"/>
        <v>0</v>
      </c>
      <c r="AB58" s="540">
        <f t="shared" si="12"/>
        <v>806.37400000000002</v>
      </c>
      <c r="AC58" s="540">
        <f>(S58-AB58)*20%</f>
        <v>24.725199999999997</v>
      </c>
      <c r="AD58" s="541">
        <f>S58-AB58-AC58</f>
        <v>98.900799999999975</v>
      </c>
      <c r="AE58" s="542"/>
      <c r="AF58" s="543">
        <f t="shared" si="35"/>
        <v>0</v>
      </c>
      <c r="AH58" s="533"/>
    </row>
    <row r="59" spans="1:34" ht="131.25" customHeight="1" x14ac:dyDescent="0.2">
      <c r="A59" s="391">
        <v>41</v>
      </c>
      <c r="B59" s="353" t="s">
        <v>370</v>
      </c>
      <c r="C59" s="492" t="str">
        <f>'Зарплата за минуту '!B45</f>
        <v>Медицинская сестра отделения гемодиализа с экстракорпоральными методами детоксикации</v>
      </c>
      <c r="D59" s="440">
        <f>40*60</f>
        <v>2400</v>
      </c>
      <c r="E59" s="316">
        <f>'Зарплата за минуту '!AB45</f>
        <v>0.16270000000000001</v>
      </c>
      <c r="F59" s="380">
        <f t="shared" si="110"/>
        <v>390.48</v>
      </c>
      <c r="G59" s="380">
        <f>ROUND(F59*'Дополнительная зп (2)'!E39,2)</f>
        <v>31.24</v>
      </c>
      <c r="H59" s="380">
        <f t="shared" si="38"/>
        <v>143.81</v>
      </c>
      <c r="I59" s="506">
        <f>ROUND((F59+G59)*Взносы!$B$4,4)</f>
        <v>143.38480000000001</v>
      </c>
      <c r="J59" s="318">
        <f>ROUND((F59+G59)*Взносы!$C$4,4)</f>
        <v>0.42170000000000002</v>
      </c>
      <c r="K59" s="317">
        <v>0</v>
      </c>
      <c r="L59" s="507">
        <f t="shared" si="111"/>
        <v>251.81</v>
      </c>
      <c r="M59" s="323"/>
      <c r="N59" s="323">
        <f t="shared" si="112"/>
        <v>817.33999999999992</v>
      </c>
      <c r="O59" s="448">
        <v>0.29933999999999999</v>
      </c>
      <c r="P59" s="323">
        <f t="shared" si="10"/>
        <v>244.66</v>
      </c>
      <c r="Q59" s="390">
        <f t="shared" si="113"/>
        <v>1062</v>
      </c>
      <c r="R59" s="426">
        <f t="shared" si="108"/>
        <v>0</v>
      </c>
      <c r="S59" s="342">
        <f t="shared" si="109"/>
        <v>1062</v>
      </c>
      <c r="T59" s="554"/>
      <c r="U59" s="337" t="str">
        <f>'Зарплата за минуту '!AC45</f>
        <v>шапель ю.в.</v>
      </c>
      <c r="V59" s="540">
        <f t="shared" si="86"/>
        <v>421.72</v>
      </c>
      <c r="W59" s="540">
        <f t="shared" si="11"/>
        <v>143.81</v>
      </c>
      <c r="X59" s="540"/>
      <c r="Y59" s="540">
        <f t="shared" si="87"/>
        <v>214.76400000000004</v>
      </c>
      <c r="Z59" s="540">
        <f t="shared" si="88"/>
        <v>136.66800000000001</v>
      </c>
      <c r="AA59" s="540">
        <f t="shared" si="16"/>
        <v>0</v>
      </c>
      <c r="AB59" s="540">
        <f t="shared" si="12"/>
        <v>916.96199999999999</v>
      </c>
      <c r="AC59" s="540">
        <f>(S59-AB59)*20%</f>
        <v>29.007600000000004</v>
      </c>
      <c r="AD59" s="541">
        <f>S59-AB59-AC59</f>
        <v>116.03040000000001</v>
      </c>
      <c r="AE59" s="542"/>
      <c r="AF59" s="543">
        <f t="shared" si="35"/>
        <v>0</v>
      </c>
      <c r="AH59" s="533"/>
    </row>
    <row r="60" spans="1:34" ht="101.25" customHeight="1" x14ac:dyDescent="0.2">
      <c r="A60" s="348">
        <v>42</v>
      </c>
      <c r="B60" s="376" t="s">
        <v>371</v>
      </c>
      <c r="C60" s="490" t="str">
        <f>'Зарплата за минуту '!B46</f>
        <v>Медицинская сестра операционного хирургического блока</v>
      </c>
      <c r="D60" s="438">
        <f>40*60</f>
        <v>2400</v>
      </c>
      <c r="E60" s="319">
        <f>'Зарплата за минуту '!AB46</f>
        <v>0.1731</v>
      </c>
      <c r="F60" s="352">
        <f t="shared" si="110"/>
        <v>415.44</v>
      </c>
      <c r="G60" s="352">
        <f>ROUND(F60*'Дополнительная зп (2)'!E40,2)</f>
        <v>37.39</v>
      </c>
      <c r="H60" s="352">
        <f t="shared" si="38"/>
        <v>172.53</v>
      </c>
      <c r="I60" s="500">
        <f>ROUND((F60+G60)*Взносы!$B$4,4)</f>
        <v>153.9622</v>
      </c>
      <c r="J60" s="321">
        <f>ROUND((F60+G60)*Взносы!$C$4,4)</f>
        <v>0.45279999999999998</v>
      </c>
      <c r="K60" s="320">
        <f>ROUND((F60+G60)*Взносы!F$4,4)</f>
        <v>18.113199999999999</v>
      </c>
      <c r="L60" s="501">
        <f t="shared" si="111"/>
        <v>270.38</v>
      </c>
      <c r="M60" s="327"/>
      <c r="N60" s="327">
        <f t="shared" si="112"/>
        <v>895.74</v>
      </c>
      <c r="O60" s="445">
        <v>0.29948000000000002</v>
      </c>
      <c r="P60" s="327">
        <f t="shared" si="10"/>
        <v>268.26</v>
      </c>
      <c r="Q60" s="392">
        <f t="shared" si="113"/>
        <v>1164</v>
      </c>
      <c r="R60" s="423">
        <f t="shared" si="108"/>
        <v>0</v>
      </c>
      <c r="S60" s="350">
        <f t="shared" si="109"/>
        <v>1164</v>
      </c>
      <c r="T60" s="554"/>
      <c r="U60" s="337" t="str">
        <f>'Зарплата за минуту '!AC46</f>
        <v>Зайченко опер хир блок</v>
      </c>
      <c r="V60" s="540">
        <f t="shared" si="86"/>
        <v>452.83</v>
      </c>
      <c r="W60" s="540">
        <f t="shared" si="11"/>
        <v>172.53</v>
      </c>
      <c r="X60" s="540"/>
      <c r="Y60" s="540">
        <f t="shared" si="87"/>
        <v>228.49200000000002</v>
      </c>
      <c r="Z60" s="540">
        <f t="shared" si="88"/>
        <v>145.404</v>
      </c>
      <c r="AA60" s="540">
        <f t="shared" si="16"/>
        <v>0</v>
      </c>
      <c r="AB60" s="540">
        <f t="shared" si="12"/>
        <v>999.25600000000009</v>
      </c>
      <c r="AC60" s="540">
        <f>(S60-AB60)*20%</f>
        <v>32.948799999999984</v>
      </c>
      <c r="AD60" s="541">
        <f>S60-AB60-AC60</f>
        <v>131.79519999999994</v>
      </c>
      <c r="AE60" s="542"/>
      <c r="AF60" s="543">
        <f t="shared" si="35"/>
        <v>0</v>
      </c>
      <c r="AH60" s="533"/>
    </row>
    <row r="61" spans="1:34" s="372" customFormat="1" ht="26.25" hidden="1" customHeight="1" x14ac:dyDescent="0.2">
      <c r="A61" s="704" t="s">
        <v>373</v>
      </c>
      <c r="B61" s="705"/>
      <c r="C61" s="705"/>
      <c r="D61" s="705"/>
      <c r="E61" s="705"/>
      <c r="F61" s="705"/>
      <c r="G61" s="705"/>
      <c r="H61" s="705"/>
      <c r="I61" s="705"/>
      <c r="J61" s="705"/>
      <c r="K61" s="705"/>
      <c r="L61" s="705"/>
      <c r="M61" s="705"/>
      <c r="N61" s="705"/>
      <c r="O61" s="705"/>
      <c r="P61" s="705"/>
      <c r="Q61" s="705"/>
      <c r="R61" s="706"/>
      <c r="S61" s="389">
        <f>SUM(S56:S60)</f>
        <v>4407</v>
      </c>
      <c r="T61" s="555"/>
      <c r="U61" s="431"/>
      <c r="V61" s="167"/>
      <c r="W61" s="167"/>
      <c r="X61" s="167"/>
      <c r="Y61" s="167"/>
      <c r="Z61" s="167"/>
      <c r="AA61" s="167"/>
      <c r="AB61" s="167"/>
      <c r="AC61" s="167"/>
      <c r="AD61" s="534"/>
      <c r="AE61" s="545"/>
      <c r="AF61" s="167"/>
    </row>
    <row r="62" spans="1:34" s="372" customFormat="1" ht="23.25" hidden="1" customHeight="1" x14ac:dyDescent="0.2">
      <c r="A62" s="681" t="s">
        <v>165</v>
      </c>
      <c r="B62" s="682"/>
      <c r="C62" s="381"/>
      <c r="D62" s="441"/>
      <c r="E62" s="382"/>
      <c r="F62" s="383"/>
      <c r="G62" s="383"/>
      <c r="H62" s="384"/>
      <c r="I62" s="508"/>
      <c r="J62" s="385"/>
      <c r="K62" s="386"/>
      <c r="L62" s="509"/>
      <c r="M62" s="384"/>
      <c r="N62" s="384"/>
      <c r="O62" s="387"/>
      <c r="P62" s="384"/>
      <c r="Q62" s="388"/>
      <c r="R62" s="427"/>
      <c r="S62" s="389">
        <f>S61+S55+S43+S37+S35+S32+S27+S19</f>
        <v>63042</v>
      </c>
      <c r="T62" s="555"/>
      <c r="U62" s="431"/>
      <c r="V62" s="167"/>
      <c r="W62" s="167"/>
      <c r="X62" s="167"/>
      <c r="Y62" s="167"/>
      <c r="Z62" s="167"/>
      <c r="AA62" s="167"/>
      <c r="AB62" s="167"/>
      <c r="AC62" s="167"/>
      <c r="AD62" s="534"/>
      <c r="AE62" s="545"/>
      <c r="AF62" s="167"/>
    </row>
    <row r="64" spans="1:34" x14ac:dyDescent="0.2">
      <c r="A64" s="679" t="s">
        <v>25</v>
      </c>
      <c r="B64" s="679"/>
      <c r="C64" s="495" t="s">
        <v>34</v>
      </c>
    </row>
    <row r="65" spans="1:3" x14ac:dyDescent="0.2">
      <c r="A65" s="496"/>
      <c r="B65" s="496"/>
      <c r="C65" s="495"/>
    </row>
    <row r="66" spans="1:3" x14ac:dyDescent="0.2">
      <c r="A66" s="679" t="s">
        <v>39</v>
      </c>
      <c r="B66" s="679"/>
      <c r="C66" s="495" t="s">
        <v>32</v>
      </c>
    </row>
    <row r="67" spans="1:3" x14ac:dyDescent="0.2">
      <c r="A67" s="496"/>
      <c r="B67" s="496"/>
      <c r="C67" s="495"/>
    </row>
    <row r="68" spans="1:3" x14ac:dyDescent="0.2">
      <c r="A68" s="679" t="s">
        <v>22</v>
      </c>
      <c r="B68" s="679"/>
      <c r="C68" s="495" t="s">
        <v>33</v>
      </c>
    </row>
  </sheetData>
  <mergeCells count="43">
    <mergeCell ref="A61:R61"/>
    <mergeCell ref="A55:R55"/>
    <mergeCell ref="C23:C25"/>
    <mergeCell ref="V7:V8"/>
    <mergeCell ref="W7:W8"/>
    <mergeCell ref="C10:C11"/>
    <mergeCell ref="C12:C13"/>
    <mergeCell ref="A43:R43"/>
    <mergeCell ref="A37:R37"/>
    <mergeCell ref="A35:R35"/>
    <mergeCell ref="C14:C15"/>
    <mergeCell ref="A20:A21"/>
    <mergeCell ref="B20:B21"/>
    <mergeCell ref="A32:R32"/>
    <mergeCell ref="A27:R27"/>
    <mergeCell ref="A19:R19"/>
    <mergeCell ref="AD7:AD8"/>
    <mergeCell ref="AE7:AE8"/>
    <mergeCell ref="Y7:Y8"/>
    <mergeCell ref="N1:S1"/>
    <mergeCell ref="O2:S2"/>
    <mergeCell ref="A5:S5"/>
    <mergeCell ref="X7:X8"/>
    <mergeCell ref="Z7:Z8"/>
    <mergeCell ref="AA7:AA8"/>
    <mergeCell ref="AB7:AB8"/>
    <mergeCell ref="AC7:AC8"/>
    <mergeCell ref="A64:B64"/>
    <mergeCell ref="A66:B66"/>
    <mergeCell ref="A68:B68"/>
    <mergeCell ref="U23:U25"/>
    <mergeCell ref="A62:B62"/>
    <mergeCell ref="C44:C46"/>
    <mergeCell ref="U44:U46"/>
    <mergeCell ref="C52:C54"/>
    <mergeCell ref="U52:U54"/>
    <mergeCell ref="C48:C49"/>
    <mergeCell ref="U48:U49"/>
    <mergeCell ref="U50:U51"/>
    <mergeCell ref="U33:U34"/>
    <mergeCell ref="U39:U42"/>
    <mergeCell ref="C39:C42"/>
    <mergeCell ref="C33:C34"/>
  </mergeCells>
  <pageMargins left="0.78740157480314965" right="0" top="0.78740157480314965" bottom="0.35433070866141736" header="0.31496062992125984" footer="0.31496062992125984"/>
  <pageSetup paperSize="9" scale="65" orientation="landscape" r:id="rId1"/>
  <rowBreaks count="3" manualBreakCount="3">
    <brk id="42" max="20" man="1"/>
    <brk id="50" max="20" man="1"/>
    <brk id="68" max="20" man="1"/>
  </rowBreaks>
  <colBreaks count="1" manualBreakCount="1">
    <brk id="30" min="4" max="67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H68"/>
  <sheetViews>
    <sheetView view="pageBreakPreview" topLeftCell="A58" zoomScale="80" zoomScaleNormal="100" zoomScaleSheetLayoutView="80" workbookViewId="0">
      <selection activeCell="O63" sqref="O63"/>
    </sheetView>
  </sheetViews>
  <sheetFormatPr defaultRowHeight="12.75" x14ac:dyDescent="0.2"/>
  <cols>
    <col min="1" max="1" width="5.85546875" style="305" customWidth="1"/>
    <col min="2" max="2" width="22.5703125" style="337" customWidth="1"/>
    <col min="3" max="3" width="13.28515625" style="337" customWidth="1"/>
    <col min="4" max="4" width="8" style="430" customWidth="1"/>
    <col min="5" max="5" width="9.5703125" style="305" customWidth="1"/>
    <col min="6" max="6" width="10.5703125" style="557" customWidth="1"/>
    <col min="7" max="7" width="9" style="305" customWidth="1"/>
    <col min="8" max="8" width="11.7109375" style="305" customWidth="1"/>
    <col min="9" max="9" width="13" style="305" customWidth="1"/>
    <col min="10" max="10" width="15" style="305" customWidth="1"/>
    <col min="11" max="11" width="12.7109375" style="305" customWidth="1"/>
    <col min="12" max="12" width="11" style="305" customWidth="1"/>
    <col min="13" max="13" width="9.140625" style="305" hidden="1" customWidth="1"/>
    <col min="14" max="14" width="11.7109375" style="305" customWidth="1"/>
    <col min="15" max="15" width="9.7109375" style="305" customWidth="1"/>
    <col min="16" max="16" width="11.28515625" style="305" customWidth="1"/>
    <col min="17" max="17" width="12.28515625" style="305" customWidth="1"/>
    <col min="18" max="18" width="6.5703125" style="430" customWidth="1"/>
    <col min="19" max="19" width="11.28515625" style="305" customWidth="1"/>
    <col min="20" max="20" width="8.5703125" style="305" hidden="1" customWidth="1"/>
    <col min="21" max="21" width="9.85546875" style="337" hidden="1" customWidth="1"/>
    <col min="22" max="23" width="12.7109375" style="167" hidden="1" customWidth="1"/>
    <col min="24" max="24" width="9.140625" style="167" hidden="1" customWidth="1"/>
    <col min="25" max="25" width="11" style="167" hidden="1" customWidth="1"/>
    <col min="26" max="26" width="10.5703125" style="167" hidden="1" customWidth="1"/>
    <col min="27" max="27" width="10.85546875" style="167" hidden="1" customWidth="1"/>
    <col min="28" max="28" width="12.28515625" style="167" hidden="1" customWidth="1"/>
    <col min="29" max="29" width="9.140625" style="167" hidden="1" customWidth="1"/>
    <col min="30" max="30" width="12.28515625" style="534" customWidth="1"/>
    <col min="31" max="31" width="11.28515625" style="545" customWidth="1"/>
    <col min="32" max="32" width="13.85546875" style="167" customWidth="1"/>
    <col min="33" max="16384" width="9.140625" style="305"/>
  </cols>
  <sheetData>
    <row r="1" spans="1:34" ht="63" customHeight="1" x14ac:dyDescent="0.2">
      <c r="N1" s="698" t="s">
        <v>417</v>
      </c>
      <c r="O1" s="698"/>
      <c r="P1" s="698"/>
      <c r="Q1" s="698"/>
      <c r="R1" s="698"/>
      <c r="S1" s="698"/>
      <c r="T1" s="645"/>
      <c r="V1" s="646"/>
      <c r="W1" s="646"/>
      <c r="X1" s="646"/>
      <c r="Y1" s="646"/>
      <c r="Z1" s="646"/>
      <c r="AA1" s="646"/>
      <c r="AB1" s="646"/>
      <c r="AC1" s="646"/>
      <c r="AE1" s="646"/>
      <c r="AF1" s="646"/>
    </row>
    <row r="2" spans="1:34" ht="31.5" customHeight="1" x14ac:dyDescent="0.2">
      <c r="N2" s="650"/>
      <c r="O2" s="699" t="s">
        <v>147</v>
      </c>
      <c r="P2" s="699"/>
      <c r="Q2" s="699"/>
      <c r="R2" s="699"/>
      <c r="S2" s="699"/>
      <c r="T2" s="647"/>
      <c r="V2" s="648"/>
      <c r="W2" s="648"/>
      <c r="X2" s="648"/>
      <c r="Y2" s="648"/>
      <c r="Z2" s="648"/>
      <c r="AA2" s="648"/>
      <c r="AB2" s="648"/>
      <c r="AC2" s="648"/>
      <c r="AD2" s="648"/>
      <c r="AE2" s="649"/>
      <c r="AF2" s="648"/>
    </row>
    <row r="3" spans="1:34" ht="1.5" customHeight="1" x14ac:dyDescent="0.25">
      <c r="V3" s="1"/>
      <c r="W3" s="1"/>
      <c r="X3" s="1"/>
      <c r="Y3" s="1"/>
      <c r="Z3" s="1"/>
      <c r="AA3" s="1"/>
      <c r="AB3" s="1"/>
      <c r="AC3" s="1"/>
      <c r="AD3" s="535"/>
      <c r="AE3" s="1"/>
      <c r="AF3" s="1"/>
    </row>
    <row r="4" spans="1:34" ht="16.5" hidden="1" x14ac:dyDescent="0.25">
      <c r="V4" s="1"/>
      <c r="W4" s="1"/>
      <c r="X4" s="1"/>
      <c r="Y4" s="1"/>
      <c r="Z4" s="1"/>
      <c r="AA4" s="1"/>
      <c r="AB4" s="1"/>
      <c r="AC4" s="1"/>
      <c r="AD4" s="535"/>
      <c r="AE4" s="1"/>
      <c r="AF4" s="1"/>
    </row>
    <row r="5" spans="1:34" ht="40.5" customHeight="1" x14ac:dyDescent="0.25">
      <c r="A5" s="700" t="s">
        <v>419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0"/>
      <c r="S5" s="700"/>
      <c r="T5" s="656"/>
      <c r="V5" s="1"/>
      <c r="W5" s="1"/>
      <c r="X5" s="1"/>
      <c r="Y5" s="1"/>
      <c r="Z5" s="1"/>
      <c r="AA5" s="1"/>
      <c r="AB5" s="1"/>
      <c r="AC5" s="1"/>
      <c r="AD5" s="535"/>
      <c r="AE5" s="1"/>
      <c r="AF5" s="1"/>
    </row>
    <row r="6" spans="1:34" ht="9.75" hidden="1" customHeight="1" x14ac:dyDescent="0.25">
      <c r="A6" s="306"/>
      <c r="B6" s="361"/>
      <c r="C6" s="361"/>
      <c r="D6" s="420"/>
      <c r="E6" s="306"/>
      <c r="F6" s="558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420"/>
      <c r="S6" s="306"/>
      <c r="T6" s="306"/>
      <c r="V6" s="1"/>
      <c r="W6" s="1"/>
      <c r="X6" s="1"/>
      <c r="Y6" s="1"/>
      <c r="Z6" s="1"/>
      <c r="AA6" s="1"/>
      <c r="AB6" s="1"/>
      <c r="AC6" s="1"/>
      <c r="AD6" s="535"/>
      <c r="AE6" s="1"/>
      <c r="AF6" s="1"/>
    </row>
    <row r="7" spans="1:34" ht="188.25" customHeight="1" x14ac:dyDescent="0.2">
      <c r="A7" s="548" t="s">
        <v>0</v>
      </c>
      <c r="B7" s="549" t="s">
        <v>374</v>
      </c>
      <c r="C7" s="307" t="s">
        <v>174</v>
      </c>
      <c r="D7" s="433" t="s">
        <v>298</v>
      </c>
      <c r="E7" s="308" t="s">
        <v>299</v>
      </c>
      <c r="F7" s="559" t="s">
        <v>300</v>
      </c>
      <c r="G7" s="309" t="s">
        <v>301</v>
      </c>
      <c r="H7" s="309" t="s">
        <v>302</v>
      </c>
      <c r="I7" s="308" t="s">
        <v>303</v>
      </c>
      <c r="J7" s="308" t="s">
        <v>398</v>
      </c>
      <c r="K7" s="309" t="s">
        <v>304</v>
      </c>
      <c r="L7" s="308" t="s">
        <v>305</v>
      </c>
      <c r="M7" s="308" t="s">
        <v>306</v>
      </c>
      <c r="N7" s="309" t="s">
        <v>307</v>
      </c>
      <c r="O7" s="308" t="s">
        <v>308</v>
      </c>
      <c r="P7" s="309" t="s">
        <v>309</v>
      </c>
      <c r="Q7" s="309" t="s">
        <v>310</v>
      </c>
      <c r="R7" s="421" t="s">
        <v>377</v>
      </c>
      <c r="S7" s="550" t="s">
        <v>328</v>
      </c>
      <c r="T7" s="551"/>
      <c r="V7" s="697" t="s">
        <v>390</v>
      </c>
      <c r="W7" s="697" t="s">
        <v>391</v>
      </c>
      <c r="X7" s="697" t="s">
        <v>392</v>
      </c>
      <c r="Y7" s="697" t="s">
        <v>389</v>
      </c>
      <c r="Z7" s="697" t="s">
        <v>393</v>
      </c>
      <c r="AA7" s="701" t="s">
        <v>394</v>
      </c>
      <c r="AB7" s="703" t="s">
        <v>395</v>
      </c>
      <c r="AC7" s="703" t="s">
        <v>396</v>
      </c>
      <c r="AD7" s="695" t="s">
        <v>399</v>
      </c>
      <c r="AE7" s="696" t="s">
        <v>397</v>
      </c>
      <c r="AF7" s="536"/>
    </row>
    <row r="8" spans="1:34" ht="18.75" customHeight="1" x14ac:dyDescent="0.2">
      <c r="A8" s="310">
        <v>1</v>
      </c>
      <c r="B8" s="338">
        <v>2</v>
      </c>
      <c r="C8" s="362">
        <v>3</v>
      </c>
      <c r="D8" s="434">
        <v>4</v>
      </c>
      <c r="E8" s="311">
        <v>5</v>
      </c>
      <c r="F8" s="560">
        <v>6</v>
      </c>
      <c r="G8" s="311">
        <v>7</v>
      </c>
      <c r="H8" s="311">
        <v>8</v>
      </c>
      <c r="I8" s="311">
        <v>9</v>
      </c>
      <c r="J8" s="311">
        <v>10</v>
      </c>
      <c r="K8" s="311">
        <v>11</v>
      </c>
      <c r="L8" s="311">
        <v>12</v>
      </c>
      <c r="M8" s="311">
        <v>13</v>
      </c>
      <c r="N8" s="311">
        <v>14</v>
      </c>
      <c r="O8" s="311">
        <v>15</v>
      </c>
      <c r="P8" s="311">
        <v>16</v>
      </c>
      <c r="Q8" s="311">
        <v>17</v>
      </c>
      <c r="R8" s="311" t="s">
        <v>378</v>
      </c>
      <c r="S8" s="484">
        <v>19</v>
      </c>
      <c r="T8" s="552"/>
      <c r="V8" s="697"/>
      <c r="W8" s="702"/>
      <c r="X8" s="697"/>
      <c r="Y8" s="697"/>
      <c r="Z8" s="697"/>
      <c r="AA8" s="702"/>
      <c r="AB8" s="703"/>
      <c r="AC8" s="703"/>
      <c r="AD8" s="695"/>
      <c r="AE8" s="696"/>
      <c r="AF8" s="536"/>
    </row>
    <row r="9" spans="1:34" ht="14.25" customHeight="1" x14ac:dyDescent="0.25">
      <c r="A9" s="310"/>
      <c r="B9" s="338"/>
      <c r="C9" s="362"/>
      <c r="D9" s="434"/>
      <c r="E9" s="311"/>
      <c r="F9" s="560"/>
      <c r="G9" s="485"/>
      <c r="H9" s="311"/>
      <c r="I9" s="486"/>
      <c r="J9" s="485"/>
      <c r="K9" s="486"/>
      <c r="L9" s="487">
        <v>0.59709999999999996</v>
      </c>
      <c r="M9" s="311"/>
      <c r="N9" s="311"/>
      <c r="O9" s="486"/>
      <c r="P9" s="311"/>
      <c r="Q9" s="311"/>
      <c r="R9" s="497">
        <v>0</v>
      </c>
      <c r="S9" s="484"/>
      <c r="T9" s="552"/>
      <c r="V9" s="537"/>
      <c r="W9" s="537"/>
      <c r="X9" s="537"/>
      <c r="Y9" s="537"/>
      <c r="Z9" s="537"/>
      <c r="AA9" s="537"/>
      <c r="AB9" s="537"/>
      <c r="AC9" s="537"/>
      <c r="AD9" s="538"/>
      <c r="AE9" s="539"/>
      <c r="AF9" s="536"/>
    </row>
    <row r="10" spans="1:34" ht="30" customHeight="1" x14ac:dyDescent="0.2">
      <c r="A10" s="347">
        <v>1</v>
      </c>
      <c r="B10" s="658" t="s">
        <v>311</v>
      </c>
      <c r="C10" s="707" t="s">
        <v>312</v>
      </c>
      <c r="D10" s="435">
        <f>40*60</f>
        <v>2400</v>
      </c>
      <c r="E10" s="312">
        <f>'Зарплата за минуту '!E11</f>
        <v>0.23760000000000001</v>
      </c>
      <c r="F10" s="351">
        <f t="shared" ref="F10:F17" si="0">ROUND(D10*E10,2)</f>
        <v>570.24</v>
      </c>
      <c r="G10" s="351">
        <f>ROUND(F10*'Дополнительная зп (2)'!E5,2)</f>
        <v>62.73</v>
      </c>
      <c r="H10" s="325">
        <f>ROUND(I10+J10+K10,2)</f>
        <v>241.16</v>
      </c>
      <c r="I10" s="498">
        <f>ROUND((F10+G10)*Взносы!B4,4)</f>
        <v>215.2098</v>
      </c>
      <c r="J10" s="314">
        <f>ROUND((F10+G10)*Взносы!$C4,4)</f>
        <v>0.63300000000000001</v>
      </c>
      <c r="K10" s="313">
        <f>ROUND((F10+G10)*Взносы!F4,4)</f>
        <v>25.3188</v>
      </c>
      <c r="L10" s="499">
        <f t="shared" ref="L10:L18" si="1">ROUND((F10+G10)*L$9,2)</f>
        <v>377.95</v>
      </c>
      <c r="M10" s="325"/>
      <c r="N10" s="351">
        <f>F10+G10+H10+L10+M10</f>
        <v>1252.08</v>
      </c>
      <c r="O10" s="444">
        <v>3.4997099999999999</v>
      </c>
      <c r="P10" s="351">
        <f>ROUND(N10*O10,2)</f>
        <v>4381.92</v>
      </c>
      <c r="Q10" s="454">
        <f t="shared" ref="Q10:Q18" si="2">N10+P10</f>
        <v>5634</v>
      </c>
      <c r="R10" s="422">
        <f>ROUND(Q10*R$9,2)</f>
        <v>0</v>
      </c>
      <c r="S10" s="370">
        <f>ROUND(SUM(Q10:R10),2)</f>
        <v>5634</v>
      </c>
      <c r="T10" s="553"/>
      <c r="U10" s="337" t="s">
        <v>313</v>
      </c>
      <c r="V10" s="540">
        <f t="shared" ref="V10:V18" si="3">F10+G10</f>
        <v>632.97</v>
      </c>
      <c r="W10" s="540">
        <f>H10</f>
        <v>241.16</v>
      </c>
      <c r="X10" s="540"/>
      <c r="Y10" s="540">
        <f t="shared" ref="Y10:Y18" si="4">F10*0.55</f>
        <v>313.63200000000001</v>
      </c>
      <c r="Z10" s="540">
        <f t="shared" ref="Z10:Z17" si="5">F10*0.35</f>
        <v>199.584</v>
      </c>
      <c r="AA10" s="540">
        <f>AE10*34.1%</f>
        <v>0</v>
      </c>
      <c r="AB10" s="540">
        <f>SUM(V10:AA10)</f>
        <v>1387.346</v>
      </c>
      <c r="AC10" s="540">
        <f t="shared" ref="AC10:AC18" si="6">(S10-AB10)*20%</f>
        <v>849.33080000000018</v>
      </c>
      <c r="AD10" s="541">
        <f t="shared" ref="AD10:AD18" si="7">S10-AB10-AC10</f>
        <v>3397.3232000000003</v>
      </c>
      <c r="AE10" s="540"/>
      <c r="AF10" s="544">
        <f>AE10/AD10</f>
        <v>0</v>
      </c>
      <c r="AH10" s="533"/>
    </row>
    <row r="11" spans="1:34" ht="83.25" customHeight="1" x14ac:dyDescent="0.2">
      <c r="A11" s="348">
        <v>2</v>
      </c>
      <c r="B11" s="659" t="s">
        <v>315</v>
      </c>
      <c r="C11" s="708"/>
      <c r="D11" s="436">
        <f>(7.7*5*60)*0+40*60</f>
        <v>2400</v>
      </c>
      <c r="E11" s="319">
        <f>'Зарплата за минуту '!E11</f>
        <v>0.23760000000000001</v>
      </c>
      <c r="F11" s="352">
        <f t="shared" si="0"/>
        <v>570.24</v>
      </c>
      <c r="G11" s="352">
        <f>ROUND(F11*'Дополнительная зп (2)'!E6,2)</f>
        <v>62.73</v>
      </c>
      <c r="H11" s="327">
        <f t="shared" ref="H11:H18" si="8">ROUND(I11+J11+K11,2)</f>
        <v>241.16</v>
      </c>
      <c r="I11" s="500">
        <f>ROUND((F11+G11)*Взносы!B4,4)</f>
        <v>215.2098</v>
      </c>
      <c r="J11" s="321">
        <f>ROUND((F11+G11)*Взносы!C$4,4)</f>
        <v>0.63300000000000001</v>
      </c>
      <c r="K11" s="320">
        <f>ROUND((F11+G11)*Взносы!F4,4)</f>
        <v>25.3188</v>
      </c>
      <c r="L11" s="501">
        <f t="shared" si="1"/>
        <v>377.95</v>
      </c>
      <c r="M11" s="327"/>
      <c r="N11" s="327">
        <f t="shared" ref="N11:N18" si="9">F11+G11+H11+L11+M11</f>
        <v>1252.08</v>
      </c>
      <c r="O11" s="445">
        <v>3.4997099999999999</v>
      </c>
      <c r="P11" s="327">
        <f t="shared" ref="P11:P60" si="10">ROUND(N11*O11,2)</f>
        <v>4381.92</v>
      </c>
      <c r="Q11" s="349">
        <f t="shared" si="2"/>
        <v>5634</v>
      </c>
      <c r="R11" s="423">
        <f>ROUND(Q11*R$9,2)</f>
        <v>0</v>
      </c>
      <c r="S11" s="350">
        <f>ROUND(SUM(Q11:R11),2)</f>
        <v>5634</v>
      </c>
      <c r="T11" s="554"/>
      <c r="U11" s="337" t="s">
        <v>313</v>
      </c>
      <c r="V11" s="540">
        <f t="shared" si="3"/>
        <v>632.97</v>
      </c>
      <c r="W11" s="540">
        <f t="shared" ref="W11:W60" si="11">H11</f>
        <v>241.16</v>
      </c>
      <c r="X11" s="540"/>
      <c r="Y11" s="540">
        <f t="shared" si="4"/>
        <v>313.63200000000001</v>
      </c>
      <c r="Z11" s="540">
        <f t="shared" si="5"/>
        <v>199.584</v>
      </c>
      <c r="AA11" s="540">
        <f>AE11*34.1%</f>
        <v>0</v>
      </c>
      <c r="AB11" s="540">
        <f t="shared" ref="AB11:AB60" si="12">SUM(V11:AA11)</f>
        <v>1387.346</v>
      </c>
      <c r="AC11" s="540">
        <f t="shared" si="6"/>
        <v>849.33080000000018</v>
      </c>
      <c r="AD11" s="541">
        <f t="shared" si="7"/>
        <v>3397.3232000000003</v>
      </c>
      <c r="AE11" s="546"/>
      <c r="AF11" s="543">
        <f t="shared" ref="AF11:AF16" si="13">AE11/AD11</f>
        <v>0</v>
      </c>
      <c r="AH11" s="533"/>
    </row>
    <row r="12" spans="1:34" ht="43.5" customHeight="1" x14ac:dyDescent="0.2">
      <c r="A12" s="347">
        <v>3</v>
      </c>
      <c r="B12" s="658" t="s">
        <v>321</v>
      </c>
      <c r="C12" s="687" t="s">
        <v>320</v>
      </c>
      <c r="D12" s="435">
        <f>(7.7*5*60)*0+40*60</f>
        <v>2400</v>
      </c>
      <c r="E12" s="312">
        <f>'Зарплата за минуту '!AB12</f>
        <v>0.23760000000000001</v>
      </c>
      <c r="F12" s="351">
        <f t="shared" si="0"/>
        <v>570.24</v>
      </c>
      <c r="G12" s="351">
        <f>ROUND(F12*'Дополнительная зп (2)'!E6,2)</f>
        <v>62.73</v>
      </c>
      <c r="H12" s="325">
        <f t="shared" si="8"/>
        <v>241.16</v>
      </c>
      <c r="I12" s="498">
        <f>ROUND((F12+G12)*Взносы!$B$4,4)</f>
        <v>215.2098</v>
      </c>
      <c r="J12" s="314">
        <f>ROUND((F12+G12)*Взносы!$C$4,4)</f>
        <v>0.63300000000000001</v>
      </c>
      <c r="K12" s="313">
        <f>ROUND((F12+G12)*Взносы!F$4,4)</f>
        <v>25.3188</v>
      </c>
      <c r="L12" s="499">
        <f t="shared" si="1"/>
        <v>377.95</v>
      </c>
      <c r="M12" s="325"/>
      <c r="N12" s="325">
        <f t="shared" si="9"/>
        <v>1252.08</v>
      </c>
      <c r="O12" s="444">
        <v>3.4997099999999999</v>
      </c>
      <c r="P12" s="325">
        <f t="shared" si="10"/>
        <v>4381.92</v>
      </c>
      <c r="Q12" s="340">
        <f t="shared" si="2"/>
        <v>5634</v>
      </c>
      <c r="R12" s="422">
        <f t="shared" ref="R12:R47" si="14">ROUND(Q12*R$9,2)</f>
        <v>0</v>
      </c>
      <c r="S12" s="370">
        <f t="shared" ref="S12:S18" si="15">ROUND(SUM(Q12:R12),2)</f>
        <v>5634</v>
      </c>
      <c r="T12" s="553"/>
      <c r="U12" s="337" t="s">
        <v>163</v>
      </c>
      <c r="V12" s="540">
        <f t="shared" si="3"/>
        <v>632.97</v>
      </c>
      <c r="W12" s="540">
        <f t="shared" si="11"/>
        <v>241.16</v>
      </c>
      <c r="X12" s="540"/>
      <c r="Y12" s="540">
        <f t="shared" si="4"/>
        <v>313.63200000000001</v>
      </c>
      <c r="Z12" s="540">
        <f t="shared" si="5"/>
        <v>199.584</v>
      </c>
      <c r="AA12" s="540">
        <f t="shared" ref="AA12:AA60" si="16">AE12*34.1%</f>
        <v>0</v>
      </c>
      <c r="AB12" s="540">
        <f t="shared" si="12"/>
        <v>1387.346</v>
      </c>
      <c r="AC12" s="540">
        <f t="shared" si="6"/>
        <v>849.33080000000018</v>
      </c>
      <c r="AD12" s="541">
        <f t="shared" si="7"/>
        <v>3397.3232000000003</v>
      </c>
      <c r="AE12" s="546"/>
      <c r="AF12" s="543">
        <f t="shared" si="13"/>
        <v>0</v>
      </c>
      <c r="AH12" s="533"/>
    </row>
    <row r="13" spans="1:34" ht="43.5" customHeight="1" x14ac:dyDescent="0.2">
      <c r="A13" s="348">
        <v>4</v>
      </c>
      <c r="B13" s="659" t="s">
        <v>322</v>
      </c>
      <c r="C13" s="688"/>
      <c r="D13" s="436">
        <f>(7.7*5*60)*0+40*60</f>
        <v>2400</v>
      </c>
      <c r="E13" s="319">
        <f>'Зарплата за минуту '!E12</f>
        <v>0.23760000000000001</v>
      </c>
      <c r="F13" s="352">
        <f t="shared" si="0"/>
        <v>570.24</v>
      </c>
      <c r="G13" s="352">
        <f>ROUND(F13*'Дополнительная зп (2)'!E6,2)</f>
        <v>62.73</v>
      </c>
      <c r="H13" s="327">
        <f t="shared" si="8"/>
        <v>241.16</v>
      </c>
      <c r="I13" s="500">
        <f>ROUND((F13+G13)*Взносы!$B$4,4)</f>
        <v>215.2098</v>
      </c>
      <c r="J13" s="321">
        <f>ROUND((F13+G13)*Взносы!$C$4,4)</f>
        <v>0.63300000000000001</v>
      </c>
      <c r="K13" s="320">
        <f>ROUND((F13+G13)*Взносы!F$4,4)</f>
        <v>25.3188</v>
      </c>
      <c r="L13" s="501">
        <f t="shared" si="1"/>
        <v>377.95</v>
      </c>
      <c r="M13" s="327"/>
      <c r="N13" s="327">
        <f t="shared" si="9"/>
        <v>1252.08</v>
      </c>
      <c r="O13" s="445">
        <v>3.4997099999999999</v>
      </c>
      <c r="P13" s="327">
        <f t="shared" si="10"/>
        <v>4381.92</v>
      </c>
      <c r="Q13" s="349">
        <f t="shared" si="2"/>
        <v>5634</v>
      </c>
      <c r="R13" s="423">
        <f t="shared" si="14"/>
        <v>0</v>
      </c>
      <c r="S13" s="350">
        <f t="shared" si="15"/>
        <v>5634</v>
      </c>
      <c r="T13" s="554"/>
      <c r="U13" s="337" t="s">
        <v>163</v>
      </c>
      <c r="V13" s="540">
        <f t="shared" si="3"/>
        <v>632.97</v>
      </c>
      <c r="W13" s="540">
        <f t="shared" si="11"/>
        <v>241.16</v>
      </c>
      <c r="X13" s="540"/>
      <c r="Y13" s="540">
        <f t="shared" si="4"/>
        <v>313.63200000000001</v>
      </c>
      <c r="Z13" s="540">
        <f t="shared" si="5"/>
        <v>199.584</v>
      </c>
      <c r="AA13" s="540">
        <f t="shared" si="16"/>
        <v>0</v>
      </c>
      <c r="AB13" s="540">
        <f t="shared" si="12"/>
        <v>1387.346</v>
      </c>
      <c r="AC13" s="540">
        <f t="shared" si="6"/>
        <v>849.33080000000018</v>
      </c>
      <c r="AD13" s="541">
        <f t="shared" si="7"/>
        <v>3397.3232000000003</v>
      </c>
      <c r="AE13" s="546"/>
      <c r="AF13" s="543">
        <f t="shared" si="13"/>
        <v>0</v>
      </c>
      <c r="AH13" s="533"/>
    </row>
    <row r="14" spans="1:34" s="578" customFormat="1" ht="82.5" customHeight="1" x14ac:dyDescent="0.2">
      <c r="A14" s="584">
        <v>5</v>
      </c>
      <c r="B14" s="652" t="s">
        <v>400</v>
      </c>
      <c r="C14" s="709" t="s">
        <v>320</v>
      </c>
      <c r="D14" s="435">
        <f>(7.7*5*60)*0+40*60</f>
        <v>2400</v>
      </c>
      <c r="E14" s="585">
        <f>'Зарплата за минуту '!AB12</f>
        <v>0.23760000000000001</v>
      </c>
      <c r="F14" s="586">
        <f t="shared" si="0"/>
        <v>570.24</v>
      </c>
      <c r="G14" s="586">
        <f>ROUND(F14*'Дополнительная зп (2)'!E6,2)</f>
        <v>62.73</v>
      </c>
      <c r="H14" s="313">
        <f t="shared" si="8"/>
        <v>241.16</v>
      </c>
      <c r="I14" s="498">
        <f>ROUND((F14+G14)*Взносы!$B$4,4)</f>
        <v>215.2098</v>
      </c>
      <c r="J14" s="314">
        <f>ROUND((F14+G14)*Взносы!$C$4,4)</f>
        <v>0.63300000000000001</v>
      </c>
      <c r="K14" s="313">
        <f>ROUND((F14+G14)*Взносы!F$4,4)</f>
        <v>25.3188</v>
      </c>
      <c r="L14" s="587">
        <f t="shared" si="1"/>
        <v>377.95</v>
      </c>
      <c r="M14" s="313"/>
      <c r="N14" s="313">
        <f t="shared" si="9"/>
        <v>1252.08</v>
      </c>
      <c r="O14" s="588">
        <v>3.4997099999999999</v>
      </c>
      <c r="P14" s="313">
        <f t="shared" si="10"/>
        <v>4381.92</v>
      </c>
      <c r="Q14" s="425">
        <f t="shared" si="2"/>
        <v>5634</v>
      </c>
      <c r="R14" s="422">
        <f t="shared" si="14"/>
        <v>0</v>
      </c>
      <c r="S14" s="589">
        <f t="shared" si="15"/>
        <v>5634</v>
      </c>
      <c r="T14" s="590"/>
      <c r="U14" s="571" t="s">
        <v>323</v>
      </c>
      <c r="V14" s="572">
        <f t="shared" si="3"/>
        <v>632.97</v>
      </c>
      <c r="W14" s="572">
        <f t="shared" si="11"/>
        <v>241.16</v>
      </c>
      <c r="X14" s="572"/>
      <c r="Y14" s="572">
        <f t="shared" si="4"/>
        <v>313.63200000000001</v>
      </c>
      <c r="Z14" s="572">
        <f t="shared" si="5"/>
        <v>199.584</v>
      </c>
      <c r="AA14" s="572">
        <f t="shared" si="16"/>
        <v>0</v>
      </c>
      <c r="AB14" s="572">
        <f t="shared" si="12"/>
        <v>1387.346</v>
      </c>
      <c r="AC14" s="572">
        <f t="shared" si="6"/>
        <v>849.33080000000018</v>
      </c>
      <c r="AD14" s="573">
        <f t="shared" si="7"/>
        <v>3397.3232000000003</v>
      </c>
      <c r="AE14" s="580"/>
      <c r="AF14" s="577">
        <f t="shared" si="13"/>
        <v>0</v>
      </c>
      <c r="AH14" s="579"/>
    </row>
    <row r="15" spans="1:34" s="578" customFormat="1" ht="33.75" customHeight="1" x14ac:dyDescent="0.2">
      <c r="A15" s="591">
        <v>6</v>
      </c>
      <c r="B15" s="653" t="s">
        <v>324</v>
      </c>
      <c r="C15" s="710"/>
      <c r="D15" s="436">
        <f>(7.7*5*60)*0+40*60</f>
        <v>2400</v>
      </c>
      <c r="E15" s="585">
        <f>'Зарплата за минуту '!AB12</f>
        <v>0.23760000000000001</v>
      </c>
      <c r="F15" s="586">
        <f t="shared" si="0"/>
        <v>570.24</v>
      </c>
      <c r="G15" s="586">
        <f>ROUND(F15*'Дополнительная зп (2)'!E6,2)</f>
        <v>62.73</v>
      </c>
      <c r="H15" s="313">
        <f t="shared" si="8"/>
        <v>241.16</v>
      </c>
      <c r="I15" s="498">
        <f>ROUND((F15+G15)*Взносы!$B$4,4)</f>
        <v>215.2098</v>
      </c>
      <c r="J15" s="314">
        <f>ROUND((F15+G15)*Взносы!$C$4,4)</f>
        <v>0.63300000000000001</v>
      </c>
      <c r="K15" s="313">
        <f>ROUND((F15+G15)*Взносы!F$4,4)</f>
        <v>25.3188</v>
      </c>
      <c r="L15" s="587">
        <f t="shared" si="1"/>
        <v>377.95</v>
      </c>
      <c r="M15" s="313"/>
      <c r="N15" s="313">
        <f t="shared" si="9"/>
        <v>1252.08</v>
      </c>
      <c r="O15" s="588">
        <v>3.4997099999999999</v>
      </c>
      <c r="P15" s="313">
        <f t="shared" si="10"/>
        <v>4381.92</v>
      </c>
      <c r="Q15" s="425">
        <f t="shared" si="2"/>
        <v>5634</v>
      </c>
      <c r="R15" s="422">
        <f t="shared" si="14"/>
        <v>0</v>
      </c>
      <c r="S15" s="589">
        <f t="shared" si="15"/>
        <v>5634</v>
      </c>
      <c r="T15" s="592"/>
      <c r="U15" s="571" t="s">
        <v>323</v>
      </c>
      <c r="V15" s="572">
        <f t="shared" si="3"/>
        <v>632.97</v>
      </c>
      <c r="W15" s="572">
        <f t="shared" si="11"/>
        <v>241.16</v>
      </c>
      <c r="X15" s="572"/>
      <c r="Y15" s="572">
        <f t="shared" si="4"/>
        <v>313.63200000000001</v>
      </c>
      <c r="Z15" s="572">
        <f t="shared" si="5"/>
        <v>199.584</v>
      </c>
      <c r="AA15" s="572">
        <f t="shared" si="16"/>
        <v>0</v>
      </c>
      <c r="AB15" s="572">
        <f t="shared" si="12"/>
        <v>1387.346</v>
      </c>
      <c r="AC15" s="572">
        <f t="shared" si="6"/>
        <v>849.33080000000018</v>
      </c>
      <c r="AD15" s="573">
        <f t="shared" si="7"/>
        <v>3397.3232000000003</v>
      </c>
      <c r="AE15" s="580"/>
      <c r="AF15" s="577">
        <f t="shared" si="13"/>
        <v>0</v>
      </c>
      <c r="AH15" s="579"/>
    </row>
    <row r="16" spans="1:34" ht="43.5" customHeight="1" x14ac:dyDescent="0.2">
      <c r="A16" s="513">
        <v>7</v>
      </c>
      <c r="B16" s="657" t="s">
        <v>401</v>
      </c>
      <c r="C16" s="514" t="s">
        <v>40</v>
      </c>
      <c r="D16" s="515">
        <f>40*60</f>
        <v>2400</v>
      </c>
      <c r="E16" s="516">
        <f>'Зарплата за минуту '!AB14</f>
        <v>0.23760000000000001</v>
      </c>
      <c r="F16" s="517">
        <f t="shared" si="0"/>
        <v>570.24</v>
      </c>
      <c r="G16" s="517">
        <f>ROUND(F16*'Дополнительная зп (2)'!E8,2)</f>
        <v>62.73</v>
      </c>
      <c r="H16" s="518">
        <f t="shared" si="8"/>
        <v>241.16</v>
      </c>
      <c r="I16" s="519">
        <f>ROUND((F16+G16)*Взносы!$B$4,4)</f>
        <v>215.2098</v>
      </c>
      <c r="J16" s="520">
        <f>ROUND((F16+G16)*Взносы!$C$4,4)</f>
        <v>0.63300000000000001</v>
      </c>
      <c r="K16" s="521">
        <f>ROUND((F16+G16)*Взносы!F$4,4)</f>
        <v>25.3188</v>
      </c>
      <c r="L16" s="522">
        <f t="shared" si="1"/>
        <v>377.95</v>
      </c>
      <c r="M16" s="518"/>
      <c r="N16" s="518">
        <f t="shared" si="9"/>
        <v>1252.08</v>
      </c>
      <c r="O16" s="523">
        <v>3.4997099999999999</v>
      </c>
      <c r="P16" s="518">
        <f t="shared" si="10"/>
        <v>4381.92</v>
      </c>
      <c r="Q16" s="524">
        <f t="shared" si="2"/>
        <v>5634</v>
      </c>
      <c r="R16" s="525">
        <f t="shared" si="14"/>
        <v>0</v>
      </c>
      <c r="S16" s="526">
        <f t="shared" si="15"/>
        <v>5634</v>
      </c>
      <c r="T16" s="553"/>
      <c r="U16" s="337" t="s">
        <v>164</v>
      </c>
      <c r="V16" s="540">
        <f t="shared" si="3"/>
        <v>632.97</v>
      </c>
      <c r="W16" s="540">
        <f t="shared" si="11"/>
        <v>241.16</v>
      </c>
      <c r="X16" s="540"/>
      <c r="Y16" s="540">
        <f t="shared" si="4"/>
        <v>313.63200000000001</v>
      </c>
      <c r="Z16" s="540">
        <f t="shared" si="5"/>
        <v>199.584</v>
      </c>
      <c r="AA16" s="540">
        <f t="shared" si="16"/>
        <v>0</v>
      </c>
      <c r="AB16" s="540">
        <f t="shared" si="12"/>
        <v>1387.346</v>
      </c>
      <c r="AC16" s="540">
        <f t="shared" si="6"/>
        <v>849.33080000000018</v>
      </c>
      <c r="AD16" s="541">
        <f t="shared" si="7"/>
        <v>3397.3232000000003</v>
      </c>
      <c r="AE16" s="547"/>
      <c r="AF16" s="543">
        <f t="shared" si="13"/>
        <v>0</v>
      </c>
      <c r="AH16" s="533"/>
    </row>
    <row r="17" spans="1:34" s="430" customFormat="1" ht="27.75" customHeight="1" x14ac:dyDescent="0.2">
      <c r="A17" s="593">
        <v>8</v>
      </c>
      <c r="B17" s="594" t="s">
        <v>325</v>
      </c>
      <c r="C17" s="595" t="s">
        <v>27</v>
      </c>
      <c r="D17" s="437">
        <f>40*60</f>
        <v>2400</v>
      </c>
      <c r="E17" s="596">
        <f>'Зарплата за минуту '!AB15</f>
        <v>0.22140000000000001</v>
      </c>
      <c r="F17" s="597">
        <f t="shared" si="0"/>
        <v>531.36</v>
      </c>
      <c r="G17" s="597">
        <f>ROUND(F17*'Дополнительная зп (2)'!E9,2)</f>
        <v>58.45</v>
      </c>
      <c r="H17" s="360">
        <f t="shared" si="8"/>
        <v>236.51</v>
      </c>
      <c r="I17" s="502">
        <f>ROUND((F17+G17)*Взносы!$B$4,4)</f>
        <v>200.53540000000001</v>
      </c>
      <c r="J17" s="359">
        <f>ROUND((F17+G17)*Взносы!$C$4,4)</f>
        <v>0.58979999999999999</v>
      </c>
      <c r="K17" s="360">
        <f>ROUND((F17+G17)*Взносы!E$4,4)</f>
        <v>35.388599999999997</v>
      </c>
      <c r="L17" s="598">
        <f t="shared" si="1"/>
        <v>352.18</v>
      </c>
      <c r="M17" s="360"/>
      <c r="N17" s="597">
        <f t="shared" si="9"/>
        <v>1178.5</v>
      </c>
      <c r="O17" s="523">
        <v>3.5006400000000002</v>
      </c>
      <c r="P17" s="597">
        <f t="shared" si="10"/>
        <v>4125.5</v>
      </c>
      <c r="Q17" s="424">
        <f t="shared" si="2"/>
        <v>5304</v>
      </c>
      <c r="R17" s="527">
        <f t="shared" si="14"/>
        <v>0</v>
      </c>
      <c r="S17" s="600">
        <f t="shared" si="15"/>
        <v>5304</v>
      </c>
      <c r="T17" s="592"/>
      <c r="U17" s="571" t="s">
        <v>146</v>
      </c>
      <c r="V17" s="572">
        <f t="shared" si="3"/>
        <v>589.81000000000006</v>
      </c>
      <c r="W17" s="572">
        <f t="shared" si="11"/>
        <v>236.51</v>
      </c>
      <c r="X17" s="572"/>
      <c r="Y17" s="572">
        <f t="shared" si="4"/>
        <v>292.24800000000005</v>
      </c>
      <c r="Z17" s="572">
        <f t="shared" si="5"/>
        <v>185.976</v>
      </c>
      <c r="AA17" s="572">
        <f t="shared" si="16"/>
        <v>0</v>
      </c>
      <c r="AB17" s="572">
        <f t="shared" si="12"/>
        <v>1304.5440000000003</v>
      </c>
      <c r="AC17" s="572">
        <f t="shared" si="6"/>
        <v>799.89120000000003</v>
      </c>
      <c r="AD17" s="573">
        <f t="shared" si="7"/>
        <v>3199.5647999999997</v>
      </c>
      <c r="AE17" s="574"/>
      <c r="AF17" s="575">
        <f>AE17/AD17</f>
        <v>0</v>
      </c>
      <c r="AH17" s="576"/>
    </row>
    <row r="18" spans="1:34" ht="57" customHeight="1" x14ac:dyDescent="0.2">
      <c r="A18" s="354">
        <v>9</v>
      </c>
      <c r="B18" s="355" t="s">
        <v>326</v>
      </c>
      <c r="C18" s="488" t="s">
        <v>212</v>
      </c>
      <c r="D18" s="437">
        <f>80*60</f>
        <v>4800</v>
      </c>
      <c r="E18" s="356">
        <f>'Зарплата за минуту '!AB16</f>
        <v>0.21879999999999999</v>
      </c>
      <c r="F18" s="357">
        <f>ROUND(D18*E18,2)</f>
        <v>1050.24</v>
      </c>
      <c r="G18" s="357">
        <f>ROUND(F18*'Дополнительная зп (2)'!E10,2)</f>
        <v>115.53</v>
      </c>
      <c r="H18" s="358">
        <f t="shared" si="8"/>
        <v>444.16</v>
      </c>
      <c r="I18" s="502">
        <f>ROUND((F18+G18)*Взносы!$B$4,4)</f>
        <v>396.36180000000002</v>
      </c>
      <c r="J18" s="359">
        <f>ROUND((F18+G18)*Взносы!$C$4,4)</f>
        <v>1.1657999999999999</v>
      </c>
      <c r="K18" s="360">
        <f>ROUND((F18+G18)*Взносы!F$4,4)</f>
        <v>46.630800000000001</v>
      </c>
      <c r="L18" s="503">
        <f t="shared" si="1"/>
        <v>696.08</v>
      </c>
      <c r="M18" s="358"/>
      <c r="N18" s="358">
        <f t="shared" si="9"/>
        <v>2306.0100000000002</v>
      </c>
      <c r="O18" s="523">
        <v>3.4986799999999998</v>
      </c>
      <c r="P18" s="358">
        <f t="shared" si="10"/>
        <v>8067.99</v>
      </c>
      <c r="Q18" s="363">
        <f t="shared" si="2"/>
        <v>10374</v>
      </c>
      <c r="R18" s="424">
        <f t="shared" si="14"/>
        <v>0</v>
      </c>
      <c r="S18" s="371">
        <f t="shared" si="15"/>
        <v>10374</v>
      </c>
      <c r="T18" s="553"/>
      <c r="U18" s="337" t="s">
        <v>327</v>
      </c>
      <c r="V18" s="540">
        <f t="shared" si="3"/>
        <v>1165.77</v>
      </c>
      <c r="W18" s="540">
        <f t="shared" si="11"/>
        <v>444.16</v>
      </c>
      <c r="X18" s="540"/>
      <c r="Y18" s="540">
        <f t="shared" si="4"/>
        <v>577.63200000000006</v>
      </c>
      <c r="Z18" s="540">
        <f>F18*0.45</f>
        <v>472.608</v>
      </c>
      <c r="AA18" s="540">
        <f t="shared" si="16"/>
        <v>0</v>
      </c>
      <c r="AB18" s="540">
        <f t="shared" si="12"/>
        <v>2660.17</v>
      </c>
      <c r="AC18" s="540">
        <f t="shared" si="6"/>
        <v>1542.7660000000001</v>
      </c>
      <c r="AD18" s="541">
        <f t="shared" si="7"/>
        <v>6171.0640000000003</v>
      </c>
      <c r="AE18" s="542"/>
      <c r="AF18" s="543">
        <f>AE18/AD18</f>
        <v>0</v>
      </c>
      <c r="AH18" s="533"/>
    </row>
    <row r="19" spans="1:34" s="372" customFormat="1" ht="15" hidden="1" x14ac:dyDescent="0.2">
      <c r="A19" s="704" t="s">
        <v>329</v>
      </c>
      <c r="B19" s="705"/>
      <c r="C19" s="705"/>
      <c r="D19" s="705"/>
      <c r="E19" s="705"/>
      <c r="F19" s="705"/>
      <c r="G19" s="705"/>
      <c r="H19" s="705"/>
      <c r="I19" s="705"/>
      <c r="J19" s="705"/>
      <c r="K19" s="705"/>
      <c r="L19" s="705"/>
      <c r="M19" s="705"/>
      <c r="N19" s="705"/>
      <c r="O19" s="705"/>
      <c r="P19" s="705">
        <f t="shared" si="10"/>
        <v>0</v>
      </c>
      <c r="Q19" s="705"/>
      <c r="R19" s="706">
        <f t="shared" si="14"/>
        <v>0</v>
      </c>
      <c r="S19" s="389">
        <f>SUM(S10:S18)</f>
        <v>55116</v>
      </c>
      <c r="T19" s="555"/>
      <c r="U19" s="431"/>
      <c r="V19" s="540"/>
      <c r="W19" s="540"/>
      <c r="X19" s="540"/>
      <c r="Y19" s="540"/>
      <c r="Z19" s="540"/>
      <c r="AA19" s="540">
        <f t="shared" si="16"/>
        <v>0</v>
      </c>
      <c r="AB19" s="540"/>
      <c r="AC19" s="540"/>
      <c r="AD19" s="541"/>
      <c r="AE19" s="542"/>
      <c r="AF19" s="543"/>
      <c r="AH19" s="533"/>
    </row>
    <row r="20" spans="1:34" ht="42" customHeight="1" x14ac:dyDescent="0.2">
      <c r="A20" s="711">
        <v>10</v>
      </c>
      <c r="B20" s="683" t="s">
        <v>330</v>
      </c>
      <c r="C20" s="489" t="s">
        <v>215</v>
      </c>
      <c r="D20" s="435">
        <f>8*60</f>
        <v>480</v>
      </c>
      <c r="E20" s="312">
        <f>'Зарплата за минуту '!AB18</f>
        <v>0.20019999999999999</v>
      </c>
      <c r="F20" s="351">
        <f t="shared" ref="F20:F21" si="17">D20*E20</f>
        <v>96.095999999999989</v>
      </c>
      <c r="G20" s="351">
        <f>ROUND(F20*'Дополнительная зп (2)'!E12,2)</f>
        <v>7.69</v>
      </c>
      <c r="H20" s="325">
        <f t="shared" ref="H20:H21" si="18">I20+J20+K20</f>
        <v>35.390999999999998</v>
      </c>
      <c r="I20" s="325">
        <f>ROUND((F20+G20)*Взносы!$B$4,4)</f>
        <v>35.287199999999999</v>
      </c>
      <c r="J20" s="325">
        <f>ROUND((F20+G20)*Взносы!$C$4,4)</f>
        <v>0.1038</v>
      </c>
      <c r="K20" s="325">
        <v>0</v>
      </c>
      <c r="L20" s="325">
        <f t="shared" ref="L20:L21" si="19">ROUND((F20+G20)*L$9,2)</f>
        <v>61.97</v>
      </c>
      <c r="M20" s="325"/>
      <c r="N20" s="325">
        <f t="shared" ref="N20:N21" si="20">F20+G20+H20+L20+M20</f>
        <v>201.14699999999999</v>
      </c>
      <c r="O20" s="444">
        <v>3.5041500000000001</v>
      </c>
      <c r="P20" s="325">
        <f t="shared" si="10"/>
        <v>704.85</v>
      </c>
      <c r="Q20" s="325">
        <f>N20+P20</f>
        <v>905.99700000000007</v>
      </c>
      <c r="R20" s="313">
        <f t="shared" si="14"/>
        <v>0</v>
      </c>
      <c r="S20" s="326">
        <f t="shared" ref="S20:S25" si="21">ROUND(SUM(Q20:R20),2)</f>
        <v>906</v>
      </c>
      <c r="T20" s="556"/>
      <c r="U20" s="337" t="s">
        <v>331</v>
      </c>
      <c r="V20" s="540">
        <f t="shared" ref="V20:V25" si="22">F20+G20</f>
        <v>103.78599999999999</v>
      </c>
      <c r="W20" s="540">
        <f t="shared" si="11"/>
        <v>35.390999999999998</v>
      </c>
      <c r="X20" s="540"/>
      <c r="Y20" s="540">
        <f t="shared" ref="Y20:Y25" si="23">F20*0.55</f>
        <v>52.852800000000002</v>
      </c>
      <c r="Z20" s="540">
        <f t="shared" ref="Z20:Z25" si="24">F20*0.35</f>
        <v>33.633599999999994</v>
      </c>
      <c r="AA20" s="540">
        <f t="shared" si="16"/>
        <v>0</v>
      </c>
      <c r="AB20" s="540">
        <f t="shared" si="12"/>
        <v>225.6634</v>
      </c>
      <c r="AC20" s="540">
        <f t="shared" ref="AC20:AC25" si="25">(S20-AB20)*20%</f>
        <v>136.06732</v>
      </c>
      <c r="AD20" s="541">
        <f t="shared" ref="AD20:AD25" si="26">S20-AB20-AC20</f>
        <v>544.26927999999998</v>
      </c>
      <c r="AE20" s="542"/>
      <c r="AF20" s="543">
        <f>AE20/AD20</f>
        <v>0</v>
      </c>
      <c r="AH20" s="533"/>
    </row>
    <row r="21" spans="1:34" ht="26.25" customHeight="1" x14ac:dyDescent="0.2">
      <c r="A21" s="712"/>
      <c r="B21" s="686"/>
      <c r="C21" s="490" t="s">
        <v>217</v>
      </c>
      <c r="D21" s="438">
        <f>8*60</f>
        <v>480</v>
      </c>
      <c r="E21" s="319">
        <f>'Зарплата за минуту '!AB19</f>
        <v>0.1996</v>
      </c>
      <c r="F21" s="352">
        <f t="shared" si="17"/>
        <v>95.807999999999993</v>
      </c>
      <c r="G21" s="352">
        <f>ROUND(F21*'Дополнительная зп (2)'!E13,2)</f>
        <v>7.66</v>
      </c>
      <c r="H21" s="327">
        <f t="shared" si="18"/>
        <v>35.282599999999995</v>
      </c>
      <c r="I21" s="327">
        <f>ROUND((F21+G21)*Взносы!$B$4,4)</f>
        <v>35.179099999999998</v>
      </c>
      <c r="J21" s="327">
        <f>ROUND((F21+G21)*Взносы!$C$4,4)</f>
        <v>0.10349999999999999</v>
      </c>
      <c r="K21" s="327">
        <v>0</v>
      </c>
      <c r="L21" s="327">
        <f t="shared" si="19"/>
        <v>61.78</v>
      </c>
      <c r="M21" s="327"/>
      <c r="N21" s="352">
        <f t="shared" si="20"/>
        <v>200.53059999999999</v>
      </c>
      <c r="O21" s="445">
        <v>3.50305</v>
      </c>
      <c r="P21" s="352">
        <f t="shared" si="10"/>
        <v>702.47</v>
      </c>
      <c r="Q21" s="327">
        <f>N21+P21</f>
        <v>903.00060000000008</v>
      </c>
      <c r="R21" s="320">
        <f t="shared" si="14"/>
        <v>0</v>
      </c>
      <c r="S21" s="328">
        <f t="shared" si="21"/>
        <v>903</v>
      </c>
      <c r="T21" s="556"/>
      <c r="U21" s="337" t="s">
        <v>332</v>
      </c>
      <c r="V21" s="540">
        <f t="shared" si="22"/>
        <v>103.46799999999999</v>
      </c>
      <c r="W21" s="540">
        <f t="shared" si="11"/>
        <v>35.282599999999995</v>
      </c>
      <c r="X21" s="540"/>
      <c r="Y21" s="540">
        <f t="shared" si="23"/>
        <v>52.694400000000002</v>
      </c>
      <c r="Z21" s="540">
        <f t="shared" si="24"/>
        <v>33.532799999999995</v>
      </c>
      <c r="AA21" s="540">
        <f t="shared" si="16"/>
        <v>0</v>
      </c>
      <c r="AB21" s="540">
        <f t="shared" si="12"/>
        <v>224.9778</v>
      </c>
      <c r="AC21" s="540">
        <f t="shared" si="25"/>
        <v>135.60444000000001</v>
      </c>
      <c r="AD21" s="541">
        <f t="shared" si="26"/>
        <v>542.41776000000004</v>
      </c>
      <c r="AE21" s="542"/>
      <c r="AF21" s="543">
        <f t="shared" ref="AF21:AF60" si="27">AE21/AD21</f>
        <v>0</v>
      </c>
      <c r="AH21" s="533"/>
    </row>
    <row r="22" spans="1:34" ht="70.5" customHeight="1" x14ac:dyDescent="0.2">
      <c r="A22" s="377">
        <v>11</v>
      </c>
      <c r="B22" s="378" t="s">
        <v>333</v>
      </c>
      <c r="C22" s="491" t="s">
        <v>219</v>
      </c>
      <c r="D22" s="439">
        <f>40*60</f>
        <v>2400</v>
      </c>
      <c r="E22" s="365">
        <f>'Зарплата за минуту '!AB20</f>
        <v>0.2175</v>
      </c>
      <c r="F22" s="366">
        <f>ROUND(D22*E22,2)</f>
        <v>522</v>
      </c>
      <c r="G22" s="366">
        <f>ROUND(F22*'Дополнительная зп (2)'!E14,2)</f>
        <v>41.76</v>
      </c>
      <c r="H22" s="367">
        <f>ROUND(I22+J22+K22,2)</f>
        <v>192.24</v>
      </c>
      <c r="I22" s="504">
        <f>ROUND((F22+G22)*Взносы!$B$4,4)</f>
        <v>191.67840000000001</v>
      </c>
      <c r="J22" s="368">
        <f>ROUND((F22+G22)*Взносы!$C$4,4)</f>
        <v>0.56379999999999997</v>
      </c>
      <c r="K22" s="369">
        <v>0</v>
      </c>
      <c r="L22" s="505">
        <f>ROUND((F22+G22)*L$9,2)</f>
        <v>336.62</v>
      </c>
      <c r="M22" s="367"/>
      <c r="N22" s="367">
        <f>F22+G22+H22+L22+M22</f>
        <v>1092.6199999999999</v>
      </c>
      <c r="O22" s="447">
        <v>3.4754800000000001</v>
      </c>
      <c r="P22" s="367">
        <f t="shared" si="10"/>
        <v>3797.38</v>
      </c>
      <c r="Q22" s="367">
        <f>N22+P22</f>
        <v>4890</v>
      </c>
      <c r="R22" s="369">
        <f t="shared" si="14"/>
        <v>0</v>
      </c>
      <c r="S22" s="379">
        <f t="shared" si="21"/>
        <v>4890</v>
      </c>
      <c r="T22" s="556"/>
      <c r="U22" s="337" t="s">
        <v>334</v>
      </c>
      <c r="V22" s="540">
        <f t="shared" si="22"/>
        <v>563.76</v>
      </c>
      <c r="W22" s="540">
        <f t="shared" si="11"/>
        <v>192.24</v>
      </c>
      <c r="X22" s="540"/>
      <c r="Y22" s="540">
        <f t="shared" si="23"/>
        <v>287.10000000000002</v>
      </c>
      <c r="Z22" s="540">
        <f t="shared" si="24"/>
        <v>182.7</v>
      </c>
      <c r="AA22" s="540">
        <f t="shared" si="16"/>
        <v>0</v>
      </c>
      <c r="AB22" s="540">
        <f t="shared" si="12"/>
        <v>1225.8</v>
      </c>
      <c r="AC22" s="540">
        <f t="shared" si="25"/>
        <v>732.84</v>
      </c>
      <c r="AD22" s="541">
        <f t="shared" si="26"/>
        <v>2931.3599999999997</v>
      </c>
      <c r="AE22" s="542"/>
      <c r="AF22" s="543">
        <f t="shared" si="27"/>
        <v>0</v>
      </c>
      <c r="AH22" s="533"/>
    </row>
    <row r="23" spans="1:34" ht="54.75" customHeight="1" x14ac:dyDescent="0.2">
      <c r="A23" s="654">
        <v>12</v>
      </c>
      <c r="B23" s="375" t="s">
        <v>336</v>
      </c>
      <c r="C23" s="683" t="s">
        <v>335</v>
      </c>
      <c r="D23" s="435">
        <f>40*60</f>
        <v>2400</v>
      </c>
      <c r="E23" s="312">
        <f>'Зарплата за минуту '!AB21</f>
        <v>0.2175</v>
      </c>
      <c r="F23" s="351">
        <f t="shared" ref="F23:F26" si="28">D23*E23</f>
        <v>522</v>
      </c>
      <c r="G23" s="351">
        <f>ROUND(F23*'Дополнительная зп (2)'!E$15,2)</f>
        <v>46.98</v>
      </c>
      <c r="H23" s="351">
        <f t="shared" ref="H23:H60" si="29">ROUND(I23+J23+K23,2)</f>
        <v>194.02</v>
      </c>
      <c r="I23" s="325">
        <f>ROUND((F23+G23)*Взносы!$B$4,4)</f>
        <v>193.45320000000001</v>
      </c>
      <c r="J23" s="325">
        <f>ROUND((F23+G23)*Взносы!$C$4,4)</f>
        <v>0.56899999999999995</v>
      </c>
      <c r="K23" s="325">
        <v>0</v>
      </c>
      <c r="L23" s="325">
        <f t="shared" ref="L23:L26" si="30">ROUND((F23+G23)*L$9,2)</f>
        <v>339.74</v>
      </c>
      <c r="M23" s="325"/>
      <c r="N23" s="351">
        <f t="shared" ref="N23" si="31">F23+G23+H23+L23+M23</f>
        <v>1102.74</v>
      </c>
      <c r="O23" s="444">
        <v>3.4969800000000002</v>
      </c>
      <c r="P23" s="351">
        <f t="shared" si="10"/>
        <v>3856.26</v>
      </c>
      <c r="Q23" s="325">
        <f>N23+P23</f>
        <v>4959</v>
      </c>
      <c r="R23" s="313">
        <f t="shared" si="14"/>
        <v>0</v>
      </c>
      <c r="S23" s="326">
        <f t="shared" si="21"/>
        <v>4959</v>
      </c>
      <c r="T23" s="556"/>
      <c r="U23" s="680" t="s">
        <v>270</v>
      </c>
      <c r="V23" s="540">
        <f t="shared" si="22"/>
        <v>568.98</v>
      </c>
      <c r="W23" s="540">
        <f t="shared" si="11"/>
        <v>194.02</v>
      </c>
      <c r="X23" s="540"/>
      <c r="Y23" s="540">
        <f t="shared" si="23"/>
        <v>287.10000000000002</v>
      </c>
      <c r="Z23" s="540">
        <f t="shared" si="24"/>
        <v>182.7</v>
      </c>
      <c r="AA23" s="540">
        <f t="shared" si="16"/>
        <v>0</v>
      </c>
      <c r="AB23" s="540">
        <f t="shared" si="12"/>
        <v>1232.8</v>
      </c>
      <c r="AC23" s="540">
        <f t="shared" si="25"/>
        <v>745.24</v>
      </c>
      <c r="AD23" s="541">
        <f t="shared" si="26"/>
        <v>2980.96</v>
      </c>
      <c r="AE23" s="542"/>
      <c r="AF23" s="543">
        <f t="shared" si="27"/>
        <v>0</v>
      </c>
      <c r="AH23" s="533"/>
    </row>
    <row r="24" spans="1:34" ht="54" customHeight="1" x14ac:dyDescent="0.2">
      <c r="A24" s="322">
        <v>13</v>
      </c>
      <c r="B24" s="353" t="s">
        <v>337</v>
      </c>
      <c r="C24" s="684"/>
      <c r="D24" s="440">
        <f>40*60</f>
        <v>2400</v>
      </c>
      <c r="E24" s="316">
        <f>'Зарплата за минуту '!AB21</f>
        <v>0.2175</v>
      </c>
      <c r="F24" s="380">
        <f t="shared" si="28"/>
        <v>522</v>
      </c>
      <c r="G24" s="380">
        <f>ROUND(F24*'Дополнительная зп (2)'!E$15,2)</f>
        <v>46.98</v>
      </c>
      <c r="H24" s="380">
        <f t="shared" si="29"/>
        <v>194.02</v>
      </c>
      <c r="I24" s="323">
        <f>ROUND((F24+G24)*Взносы!$B$4,4)</f>
        <v>193.45320000000001</v>
      </c>
      <c r="J24" s="323">
        <f>ROUND((F24+G24)*Взносы!$C$4,4)</f>
        <v>0.56899999999999995</v>
      </c>
      <c r="K24" s="323">
        <v>0</v>
      </c>
      <c r="L24" s="323">
        <f t="shared" si="30"/>
        <v>339.74</v>
      </c>
      <c r="M24" s="323"/>
      <c r="N24" s="380">
        <f>F24+G24+H24+L24+M24</f>
        <v>1102.74</v>
      </c>
      <c r="O24" s="448">
        <v>3.4969800000000002</v>
      </c>
      <c r="P24" s="380">
        <f t="shared" si="10"/>
        <v>3856.26</v>
      </c>
      <c r="Q24" s="323">
        <f t="shared" ref="Q24:Q26" si="32">N24+P24</f>
        <v>4959</v>
      </c>
      <c r="R24" s="317">
        <f t="shared" si="14"/>
        <v>0</v>
      </c>
      <c r="S24" s="324">
        <f t="shared" si="21"/>
        <v>4959</v>
      </c>
      <c r="T24" s="556"/>
      <c r="U24" s="680"/>
      <c r="V24" s="540">
        <f t="shared" si="22"/>
        <v>568.98</v>
      </c>
      <c r="W24" s="540">
        <f t="shared" si="11"/>
        <v>194.02</v>
      </c>
      <c r="X24" s="540"/>
      <c r="Y24" s="540">
        <f t="shared" si="23"/>
        <v>287.10000000000002</v>
      </c>
      <c r="Z24" s="540">
        <f t="shared" si="24"/>
        <v>182.7</v>
      </c>
      <c r="AA24" s="540">
        <f t="shared" si="16"/>
        <v>0</v>
      </c>
      <c r="AB24" s="540">
        <f t="shared" si="12"/>
        <v>1232.8</v>
      </c>
      <c r="AC24" s="540">
        <f t="shared" si="25"/>
        <v>745.24</v>
      </c>
      <c r="AD24" s="541">
        <f t="shared" si="26"/>
        <v>2980.96</v>
      </c>
      <c r="AE24" s="542"/>
      <c r="AF24" s="543">
        <f t="shared" si="27"/>
        <v>0</v>
      </c>
      <c r="AH24" s="533"/>
    </row>
    <row r="25" spans="1:34" ht="54" customHeight="1" x14ac:dyDescent="0.2">
      <c r="A25" s="655">
        <v>14</v>
      </c>
      <c r="B25" s="376" t="s">
        <v>338</v>
      </c>
      <c r="C25" s="686"/>
      <c r="D25" s="438">
        <f>24*60</f>
        <v>1440</v>
      </c>
      <c r="E25" s="319">
        <f>'Зарплата за минуту '!AB21</f>
        <v>0.2175</v>
      </c>
      <c r="F25" s="352">
        <f t="shared" si="28"/>
        <v>313.2</v>
      </c>
      <c r="G25" s="352">
        <f>ROUND(F25*'Дополнительная зп (2)'!E$15,2)</f>
        <v>28.19</v>
      </c>
      <c r="H25" s="352">
        <f t="shared" si="29"/>
        <v>116.41</v>
      </c>
      <c r="I25" s="327">
        <f>ROUND((F25+G25)*Взносы!$B$4,4)</f>
        <v>116.07259999999999</v>
      </c>
      <c r="J25" s="327">
        <f>ROUND((F25+G25)*Взносы!$C$4,4)</f>
        <v>0.34139999999999998</v>
      </c>
      <c r="K25" s="327">
        <v>0</v>
      </c>
      <c r="L25" s="327">
        <f t="shared" si="30"/>
        <v>203.84</v>
      </c>
      <c r="M25" s="327"/>
      <c r="N25" s="327">
        <f t="shared" ref="N25:N26" si="33">F25+G25+H25+L25+M25</f>
        <v>661.64</v>
      </c>
      <c r="O25" s="445">
        <v>3.5024500000000001</v>
      </c>
      <c r="P25" s="327">
        <f t="shared" si="10"/>
        <v>2317.36</v>
      </c>
      <c r="Q25" s="327">
        <f t="shared" si="32"/>
        <v>2979</v>
      </c>
      <c r="R25" s="320">
        <f t="shared" si="14"/>
        <v>0</v>
      </c>
      <c r="S25" s="328">
        <f t="shared" si="21"/>
        <v>2979</v>
      </c>
      <c r="T25" s="556"/>
      <c r="U25" s="680"/>
      <c r="V25" s="540">
        <f t="shared" si="22"/>
        <v>341.39</v>
      </c>
      <c r="W25" s="540">
        <f t="shared" si="11"/>
        <v>116.41</v>
      </c>
      <c r="X25" s="540"/>
      <c r="Y25" s="540">
        <f t="shared" si="23"/>
        <v>172.26000000000002</v>
      </c>
      <c r="Z25" s="540">
        <f t="shared" si="24"/>
        <v>109.61999999999999</v>
      </c>
      <c r="AA25" s="540">
        <f t="shared" si="16"/>
        <v>0</v>
      </c>
      <c r="AB25" s="540">
        <f t="shared" si="12"/>
        <v>739.68</v>
      </c>
      <c r="AC25" s="540">
        <f t="shared" si="25"/>
        <v>447.86400000000003</v>
      </c>
      <c r="AD25" s="541">
        <f t="shared" si="26"/>
        <v>1791.4560000000001</v>
      </c>
      <c r="AE25" s="542"/>
      <c r="AF25" s="543">
        <f t="shared" si="27"/>
        <v>0</v>
      </c>
      <c r="AH25" s="533"/>
    </row>
    <row r="26" spans="1:34" s="430" customFormat="1" ht="44.25" customHeight="1" x14ac:dyDescent="0.2">
      <c r="A26" s="567">
        <v>15</v>
      </c>
      <c r="B26" s="568" t="s">
        <v>402</v>
      </c>
      <c r="C26" s="569" t="s">
        <v>403</v>
      </c>
      <c r="D26" s="440">
        <f>40*60</f>
        <v>2400</v>
      </c>
      <c r="E26" s="581">
        <f>'Зарплата за минуту '!AB22</f>
        <v>0.2175</v>
      </c>
      <c r="F26" s="582">
        <f t="shared" si="28"/>
        <v>522</v>
      </c>
      <c r="G26" s="582">
        <f>ROUND(F26*'Дополнительная зп (2)'!E$15,2)</f>
        <v>46.98</v>
      </c>
      <c r="H26" s="582">
        <f t="shared" si="29"/>
        <v>194.02</v>
      </c>
      <c r="I26" s="320">
        <f>ROUND((F26+G26)*Взносы!$B$4,4)</f>
        <v>193.45320000000001</v>
      </c>
      <c r="J26" s="320">
        <f>ROUND((F26+G26)*Взносы!$C$4,4)</f>
        <v>0.56899999999999995</v>
      </c>
      <c r="K26" s="320">
        <v>0</v>
      </c>
      <c r="L26" s="320">
        <f t="shared" si="30"/>
        <v>339.74</v>
      </c>
      <c r="M26" s="320"/>
      <c r="N26" s="320">
        <f t="shared" si="33"/>
        <v>1102.74</v>
      </c>
      <c r="O26" s="444">
        <v>3.4969800000000002</v>
      </c>
      <c r="P26" s="320">
        <f t="shared" si="10"/>
        <v>3856.26</v>
      </c>
      <c r="Q26" s="320">
        <f t="shared" si="32"/>
        <v>4959</v>
      </c>
      <c r="R26" s="320">
        <f t="shared" si="14"/>
        <v>0</v>
      </c>
      <c r="S26" s="583">
        <f t="shared" ref="S26" si="34">ROUND(SUM(Q26:R26),2)</f>
        <v>4959</v>
      </c>
      <c r="T26" s="570"/>
      <c r="U26" s="571"/>
      <c r="V26" s="572"/>
      <c r="W26" s="572"/>
      <c r="X26" s="572"/>
      <c r="Y26" s="572"/>
      <c r="Z26" s="572"/>
      <c r="AA26" s="572"/>
      <c r="AB26" s="572"/>
      <c r="AC26" s="572"/>
      <c r="AD26" s="573"/>
      <c r="AE26" s="574"/>
      <c r="AF26" s="575"/>
      <c r="AH26" s="576"/>
    </row>
    <row r="27" spans="1:34" s="372" customFormat="1" ht="15" hidden="1" x14ac:dyDescent="0.2">
      <c r="A27" s="704" t="s">
        <v>339</v>
      </c>
      <c r="B27" s="705"/>
      <c r="C27" s="705"/>
      <c r="D27" s="705"/>
      <c r="E27" s="705"/>
      <c r="F27" s="705"/>
      <c r="G27" s="705"/>
      <c r="H27" s="705">
        <f t="shared" si="29"/>
        <v>0</v>
      </c>
      <c r="I27" s="705"/>
      <c r="J27" s="705"/>
      <c r="K27" s="705"/>
      <c r="L27" s="705"/>
      <c r="M27" s="705"/>
      <c r="N27" s="705"/>
      <c r="O27" s="705"/>
      <c r="P27" s="705">
        <f t="shared" si="10"/>
        <v>0</v>
      </c>
      <c r="Q27" s="705"/>
      <c r="R27" s="706">
        <f t="shared" si="14"/>
        <v>0</v>
      </c>
      <c r="S27" s="389">
        <f>SUM(S20:S25)</f>
        <v>19596</v>
      </c>
      <c r="T27" s="555"/>
      <c r="U27" s="431"/>
      <c r="V27" s="540"/>
      <c r="W27" s="540"/>
      <c r="X27" s="540"/>
      <c r="Y27" s="540"/>
      <c r="Z27" s="540"/>
      <c r="AA27" s="540">
        <f t="shared" si="16"/>
        <v>0</v>
      </c>
      <c r="AB27" s="540"/>
      <c r="AC27" s="540"/>
      <c r="AD27" s="541"/>
      <c r="AE27" s="542"/>
      <c r="AF27" s="543"/>
      <c r="AH27" s="533"/>
    </row>
    <row r="28" spans="1:34" ht="67.5" customHeight="1" x14ac:dyDescent="0.2">
      <c r="A28" s="347">
        <v>16</v>
      </c>
      <c r="B28" s="375" t="s">
        <v>340</v>
      </c>
      <c r="C28" s="489" t="s">
        <v>272</v>
      </c>
      <c r="D28" s="435">
        <f>40*60</f>
        <v>2400</v>
      </c>
      <c r="E28" s="312">
        <f>'Зарплата за минуту '!AB24</f>
        <v>0.253</v>
      </c>
      <c r="F28" s="351">
        <f t="shared" ref="F28:F31" si="35">ROUND(D28*E28,2)</f>
        <v>607.20000000000005</v>
      </c>
      <c r="G28" s="351">
        <f>ROUND(F28*'Дополнительная зп (2)'!E18,2)</f>
        <v>66.790000000000006</v>
      </c>
      <c r="H28" s="351">
        <f t="shared" si="29"/>
        <v>256.79000000000002</v>
      </c>
      <c r="I28" s="498">
        <f>ROUND((F28+G28)*Взносы!$B$4,4)</f>
        <v>229.1566</v>
      </c>
      <c r="J28" s="314">
        <f>ROUND((F28+G28)*Взносы!$C$4,4)</f>
        <v>0.67400000000000004</v>
      </c>
      <c r="K28" s="313">
        <f>ROUND((F28+G28)*Взносы!F$4,4)</f>
        <v>26.959599999999998</v>
      </c>
      <c r="L28" s="499">
        <f t="shared" ref="L28:L31" si="36">ROUND((F28+G28)*L$9,2)</f>
        <v>402.44</v>
      </c>
      <c r="M28" s="325"/>
      <c r="N28" s="325">
        <f t="shared" ref="N28:N31" si="37">F28+G28+H28+L28+M28</f>
        <v>1333.22</v>
      </c>
      <c r="O28" s="444">
        <v>3.5003799999999998</v>
      </c>
      <c r="P28" s="325">
        <f t="shared" si="10"/>
        <v>4666.78</v>
      </c>
      <c r="Q28" s="364">
        <f t="shared" ref="Q28:Q31" si="38">N28+P28</f>
        <v>6000</v>
      </c>
      <c r="R28" s="425">
        <f t="shared" si="14"/>
        <v>0</v>
      </c>
      <c r="S28" s="341">
        <f t="shared" ref="S28:S31" si="39">ROUND(SUM(Q28:R28),2)</f>
        <v>6000</v>
      </c>
      <c r="T28" s="554"/>
      <c r="U28" s="432" t="s">
        <v>273</v>
      </c>
      <c r="V28" s="540">
        <f>F28+G28</f>
        <v>673.99</v>
      </c>
      <c r="W28" s="540">
        <f t="shared" si="11"/>
        <v>256.79000000000002</v>
      </c>
      <c r="X28" s="540"/>
      <c r="Y28" s="540">
        <f>F28*0.55</f>
        <v>333.96000000000004</v>
      </c>
      <c r="Z28" s="540">
        <f>F28*0.35</f>
        <v>212.52</v>
      </c>
      <c r="AA28" s="540">
        <f t="shared" si="16"/>
        <v>0</v>
      </c>
      <c r="AB28" s="540">
        <f t="shared" si="12"/>
        <v>1477.26</v>
      </c>
      <c r="AC28" s="540">
        <f>(S28-AB28)*20%</f>
        <v>904.548</v>
      </c>
      <c r="AD28" s="541">
        <f>S28-AB28-AC28</f>
        <v>3618.192</v>
      </c>
      <c r="AE28" s="542"/>
      <c r="AF28" s="543">
        <f t="shared" si="27"/>
        <v>0</v>
      </c>
      <c r="AH28" s="533"/>
    </row>
    <row r="29" spans="1:34" ht="68.25" customHeight="1" x14ac:dyDescent="0.2">
      <c r="A29" s="391">
        <v>17</v>
      </c>
      <c r="B29" s="353" t="s">
        <v>341</v>
      </c>
      <c r="C29" s="492" t="s">
        <v>262</v>
      </c>
      <c r="D29" s="440">
        <f>40*60</f>
        <v>2400</v>
      </c>
      <c r="E29" s="316">
        <f>'Зарплата за минуту '!AB25</f>
        <v>0.24759999999999999</v>
      </c>
      <c r="F29" s="380">
        <f t="shared" si="35"/>
        <v>594.24</v>
      </c>
      <c r="G29" s="380">
        <f>ROUND(F29*'Дополнительная зп (2)'!E19,2)</f>
        <v>65.37</v>
      </c>
      <c r="H29" s="380">
        <f t="shared" si="29"/>
        <v>251.31</v>
      </c>
      <c r="I29" s="506">
        <f>ROUND((F29+G29)*Взносы!$B$4,4)</f>
        <v>224.26740000000001</v>
      </c>
      <c r="J29" s="318">
        <f>ROUND((F29+G29)*Взносы!$C$4,4)</f>
        <v>0.65959999999999996</v>
      </c>
      <c r="K29" s="317">
        <f>ROUND((F29+G29)*Взносы!F$4,4)</f>
        <v>26.384399999999999</v>
      </c>
      <c r="L29" s="507">
        <f t="shared" si="36"/>
        <v>393.85</v>
      </c>
      <c r="M29" s="323"/>
      <c r="N29" s="380">
        <f t="shared" si="37"/>
        <v>1304.77</v>
      </c>
      <c r="O29" s="445">
        <v>3.4950480000000002</v>
      </c>
      <c r="P29" s="380">
        <f t="shared" si="10"/>
        <v>4560.2299999999996</v>
      </c>
      <c r="Q29" s="390">
        <f t="shared" si="38"/>
        <v>5865</v>
      </c>
      <c r="R29" s="426">
        <f t="shared" si="14"/>
        <v>0</v>
      </c>
      <c r="S29" s="342">
        <f t="shared" si="39"/>
        <v>5865</v>
      </c>
      <c r="T29" s="554"/>
      <c r="U29" s="432" t="s">
        <v>274</v>
      </c>
      <c r="V29" s="540">
        <f>F29+G29</f>
        <v>659.61</v>
      </c>
      <c r="W29" s="540">
        <f t="shared" si="11"/>
        <v>251.31</v>
      </c>
      <c r="X29" s="540"/>
      <c r="Y29" s="540">
        <f>F29*0.55</f>
        <v>326.83200000000005</v>
      </c>
      <c r="Z29" s="540">
        <f>F29*0.35</f>
        <v>207.98399999999998</v>
      </c>
      <c r="AA29" s="540">
        <f t="shared" si="16"/>
        <v>0</v>
      </c>
      <c r="AB29" s="540">
        <f t="shared" si="12"/>
        <v>1445.7360000000001</v>
      </c>
      <c r="AC29" s="540">
        <f>(S29-AB29)*20%</f>
        <v>883.85280000000012</v>
      </c>
      <c r="AD29" s="541">
        <f>S29-AB29-AC29</f>
        <v>3535.4112</v>
      </c>
      <c r="AE29" s="542"/>
      <c r="AF29" s="543">
        <f t="shared" si="27"/>
        <v>0</v>
      </c>
      <c r="AH29" s="533"/>
    </row>
    <row r="30" spans="1:34" ht="133.5" customHeight="1" x14ac:dyDescent="0.2">
      <c r="A30" s="391">
        <v>18</v>
      </c>
      <c r="B30" s="353" t="s">
        <v>382</v>
      </c>
      <c r="C30" s="492" t="s">
        <v>272</v>
      </c>
      <c r="D30" s="440">
        <f>40*60</f>
        <v>2400</v>
      </c>
      <c r="E30" s="316">
        <f>'Зарплата за минуту '!AB26</f>
        <v>0.248</v>
      </c>
      <c r="F30" s="380">
        <f t="shared" si="35"/>
        <v>595.20000000000005</v>
      </c>
      <c r="G30" s="380">
        <f>ROUND(F30*'Дополнительная зп (2)'!E20,2)</f>
        <v>65.47</v>
      </c>
      <c r="H30" s="380">
        <f t="shared" si="29"/>
        <v>251.72</v>
      </c>
      <c r="I30" s="506">
        <f>ROUND((F30+G30)*Взносы!$B$4,4)</f>
        <v>224.62780000000001</v>
      </c>
      <c r="J30" s="318">
        <f>ROUND((F30+G30)*Взносы!$C$4,4)</f>
        <v>0.66069999999999995</v>
      </c>
      <c r="K30" s="317">
        <f>ROUND((F30+G30)*Взносы!F$4,4)</f>
        <v>26.4268</v>
      </c>
      <c r="L30" s="507">
        <f t="shared" si="36"/>
        <v>394.49</v>
      </c>
      <c r="M30" s="323"/>
      <c r="N30" s="323">
        <f t="shared" si="37"/>
        <v>1306.8800000000001</v>
      </c>
      <c r="O30" s="444">
        <v>3.4992619999999999</v>
      </c>
      <c r="P30" s="323">
        <f t="shared" si="10"/>
        <v>4573.12</v>
      </c>
      <c r="Q30" s="390">
        <f t="shared" si="38"/>
        <v>5880</v>
      </c>
      <c r="R30" s="426">
        <f t="shared" si="14"/>
        <v>0</v>
      </c>
      <c r="S30" s="342">
        <f t="shared" si="39"/>
        <v>5880</v>
      </c>
      <c r="T30" s="554"/>
      <c r="U30" s="432" t="s">
        <v>275</v>
      </c>
      <c r="V30" s="540">
        <f>F30+G30</f>
        <v>660.67000000000007</v>
      </c>
      <c r="W30" s="540">
        <f t="shared" si="11"/>
        <v>251.72</v>
      </c>
      <c r="X30" s="540"/>
      <c r="Y30" s="540">
        <f>F30*0.55</f>
        <v>327.36000000000007</v>
      </c>
      <c r="Z30" s="540">
        <f>F30*0.35</f>
        <v>208.32</v>
      </c>
      <c r="AA30" s="540">
        <f t="shared" si="16"/>
        <v>0</v>
      </c>
      <c r="AB30" s="540">
        <f t="shared" si="12"/>
        <v>1448.0700000000002</v>
      </c>
      <c r="AC30" s="540">
        <f>(S30-AB30)*20%</f>
        <v>886.38600000000008</v>
      </c>
      <c r="AD30" s="541">
        <f>S30-AB30-AC30</f>
        <v>3545.5440000000003</v>
      </c>
      <c r="AE30" s="542"/>
      <c r="AF30" s="543">
        <f t="shared" si="27"/>
        <v>0</v>
      </c>
      <c r="AH30" s="533"/>
    </row>
    <row r="31" spans="1:34" ht="55.5" customHeight="1" x14ac:dyDescent="0.2">
      <c r="A31" s="348">
        <v>19</v>
      </c>
      <c r="B31" s="376" t="s">
        <v>342</v>
      </c>
      <c r="C31" s="490" t="s">
        <v>413</v>
      </c>
      <c r="D31" s="438">
        <f>16*60</f>
        <v>960</v>
      </c>
      <c r="E31" s="319">
        <f>'Зарплата за минуту '!AB27</f>
        <v>0.24540000000000001</v>
      </c>
      <c r="F31" s="352">
        <f t="shared" si="35"/>
        <v>235.58</v>
      </c>
      <c r="G31" s="352">
        <f>ROUND(F31*'Дополнительная зп (2)'!E21,2)</f>
        <v>18.850000000000001</v>
      </c>
      <c r="H31" s="352">
        <f t="shared" si="29"/>
        <v>86.76</v>
      </c>
      <c r="I31" s="500">
        <f>ROUND((F31+G31)*Взносы!$B$4,4)</f>
        <v>86.506200000000007</v>
      </c>
      <c r="J31" s="321">
        <f>ROUND((F31+G31)*Взносы!$C$4,4)</f>
        <v>0.25440000000000002</v>
      </c>
      <c r="K31" s="320">
        <v>0</v>
      </c>
      <c r="L31" s="501">
        <f t="shared" si="36"/>
        <v>151.91999999999999</v>
      </c>
      <c r="M31" s="327"/>
      <c r="N31" s="327">
        <f t="shared" si="37"/>
        <v>493.11</v>
      </c>
      <c r="O31" s="445">
        <v>3.50204</v>
      </c>
      <c r="P31" s="327">
        <f t="shared" si="10"/>
        <v>1726.89</v>
      </c>
      <c r="Q31" s="392">
        <f t="shared" si="38"/>
        <v>2220</v>
      </c>
      <c r="R31" s="423">
        <f t="shared" si="14"/>
        <v>0</v>
      </c>
      <c r="S31" s="350">
        <f t="shared" si="39"/>
        <v>2220</v>
      </c>
      <c r="T31" s="554"/>
      <c r="U31" s="432" t="s">
        <v>277</v>
      </c>
      <c r="V31" s="540">
        <f>F31+G31</f>
        <v>254.43</v>
      </c>
      <c r="W31" s="540">
        <f t="shared" si="11"/>
        <v>86.76</v>
      </c>
      <c r="X31" s="540"/>
      <c r="Y31" s="540">
        <f>F31*0.55</f>
        <v>129.56900000000002</v>
      </c>
      <c r="Z31" s="540">
        <f>F31*0.35</f>
        <v>82.453000000000003</v>
      </c>
      <c r="AA31" s="540">
        <f t="shared" si="16"/>
        <v>0</v>
      </c>
      <c r="AB31" s="540">
        <f t="shared" si="12"/>
        <v>553.21199999999999</v>
      </c>
      <c r="AC31" s="540">
        <f>(S31-AB31)*20%</f>
        <v>333.35760000000005</v>
      </c>
      <c r="AD31" s="541">
        <f>S31-AB31-AC31</f>
        <v>1333.4304</v>
      </c>
      <c r="AE31" s="542"/>
      <c r="AF31" s="543">
        <f t="shared" si="27"/>
        <v>0</v>
      </c>
      <c r="AH31" s="533"/>
    </row>
    <row r="32" spans="1:34" s="372" customFormat="1" ht="15" hidden="1" x14ac:dyDescent="0.2">
      <c r="A32" s="704" t="s">
        <v>343</v>
      </c>
      <c r="B32" s="705"/>
      <c r="C32" s="705"/>
      <c r="D32" s="705"/>
      <c r="E32" s="705"/>
      <c r="F32" s="705"/>
      <c r="G32" s="705"/>
      <c r="H32" s="705">
        <f t="shared" si="29"/>
        <v>0</v>
      </c>
      <c r="I32" s="705"/>
      <c r="J32" s="705"/>
      <c r="K32" s="705"/>
      <c r="L32" s="705"/>
      <c r="M32" s="705"/>
      <c r="N32" s="705"/>
      <c r="O32" s="705"/>
      <c r="P32" s="705">
        <f t="shared" si="10"/>
        <v>0</v>
      </c>
      <c r="Q32" s="705"/>
      <c r="R32" s="706"/>
      <c r="S32" s="389">
        <f>SUM(S28:S31)</f>
        <v>19965</v>
      </c>
      <c r="T32" s="555"/>
      <c r="U32" s="431"/>
      <c r="V32" s="540"/>
      <c r="W32" s="540"/>
      <c r="X32" s="540"/>
      <c r="Y32" s="540"/>
      <c r="Z32" s="540"/>
      <c r="AA32" s="540">
        <f t="shared" si="16"/>
        <v>0</v>
      </c>
      <c r="AB32" s="540"/>
      <c r="AC32" s="540"/>
      <c r="AD32" s="541"/>
      <c r="AE32" s="542"/>
      <c r="AF32" s="543"/>
      <c r="AH32" s="533"/>
    </row>
    <row r="33" spans="1:34" ht="26.25" customHeight="1" x14ac:dyDescent="0.2">
      <c r="A33" s="456">
        <v>20</v>
      </c>
      <c r="B33" s="663" t="s">
        <v>379</v>
      </c>
      <c r="C33" s="713" t="s">
        <v>279</v>
      </c>
      <c r="D33" s="435">
        <f>24*60</f>
        <v>1440</v>
      </c>
      <c r="E33" s="312">
        <f>'Зарплата за минуту '!AB29</f>
        <v>0.2402</v>
      </c>
      <c r="F33" s="351">
        <f t="shared" ref="F33:F34" si="40">ROUND(D33*E33,2)</f>
        <v>345.89</v>
      </c>
      <c r="G33" s="351">
        <f>ROUND(F33*'Дополнительная зп (2)'!E23,2)</f>
        <v>38.049999999999997</v>
      </c>
      <c r="H33" s="351">
        <f t="shared" si="29"/>
        <v>146.28</v>
      </c>
      <c r="I33" s="498">
        <f>ROUND((F33+G33)*Взносы!$B$4,4)</f>
        <v>130.53960000000001</v>
      </c>
      <c r="J33" s="314">
        <f>ROUND((F33+G33)*Взносы!$C$4,4)</f>
        <v>0.38390000000000002</v>
      </c>
      <c r="K33" s="313">
        <f>ROUND((F33+G33)*Взносы!F$4,4)</f>
        <v>15.3576</v>
      </c>
      <c r="L33" s="499">
        <f t="shared" ref="L33:L34" si="41">ROUND((F33+G33)*L$9,2)</f>
        <v>229.25</v>
      </c>
      <c r="M33" s="325"/>
      <c r="N33" s="325">
        <f t="shared" ref="N33:N34" si="42">F33+G33+H33+L33+M33</f>
        <v>759.47</v>
      </c>
      <c r="O33" s="444">
        <v>3.4952399999999999</v>
      </c>
      <c r="P33" s="325">
        <f t="shared" si="10"/>
        <v>2654.53</v>
      </c>
      <c r="Q33" s="364">
        <f t="shared" ref="Q33:Q34" si="43">N33+P33</f>
        <v>3414</v>
      </c>
      <c r="R33" s="425">
        <f t="shared" si="14"/>
        <v>0</v>
      </c>
      <c r="S33" s="341">
        <f t="shared" ref="S33" si="44">ROUND(SUM(Q33:R33),2)</f>
        <v>3414</v>
      </c>
      <c r="T33" s="554"/>
      <c r="U33" s="689" t="s">
        <v>280</v>
      </c>
      <c r="V33" s="540">
        <f>F33+G33</f>
        <v>383.94</v>
      </c>
      <c r="W33" s="540">
        <f t="shared" si="11"/>
        <v>146.28</v>
      </c>
      <c r="X33" s="540"/>
      <c r="Y33" s="540">
        <f>F33*0.55</f>
        <v>190.23950000000002</v>
      </c>
      <c r="Z33" s="540">
        <f>F33*0.35</f>
        <v>121.06149999999998</v>
      </c>
      <c r="AA33" s="540">
        <f t="shared" si="16"/>
        <v>0</v>
      </c>
      <c r="AB33" s="540">
        <f t="shared" si="12"/>
        <v>841.52100000000007</v>
      </c>
      <c r="AC33" s="540">
        <f>(S33-AB33)*20%</f>
        <v>514.49580000000003</v>
      </c>
      <c r="AD33" s="541">
        <f>S33-AB33-AC33</f>
        <v>2057.9831999999997</v>
      </c>
      <c r="AE33" s="542"/>
      <c r="AF33" s="543">
        <f t="shared" si="27"/>
        <v>0</v>
      </c>
      <c r="AH33" s="533"/>
    </row>
    <row r="34" spans="1:34" ht="41.25" customHeight="1" x14ac:dyDescent="0.2">
      <c r="A34" s="662">
        <v>21</v>
      </c>
      <c r="B34" s="664" t="s">
        <v>380</v>
      </c>
      <c r="C34" s="694"/>
      <c r="D34" s="438">
        <f>24*60</f>
        <v>1440</v>
      </c>
      <c r="E34" s="319">
        <f>'Зарплата за минуту '!AB29</f>
        <v>0.2402</v>
      </c>
      <c r="F34" s="352">
        <f t="shared" si="40"/>
        <v>345.89</v>
      </c>
      <c r="G34" s="352">
        <f>ROUND(F34*'Дополнительная зп (2)'!E23,2)</f>
        <v>38.049999999999997</v>
      </c>
      <c r="H34" s="352">
        <f t="shared" si="29"/>
        <v>146.28</v>
      </c>
      <c r="I34" s="500">
        <f>ROUND((F34+G34)*Взносы!$B$4,4)</f>
        <v>130.53960000000001</v>
      </c>
      <c r="J34" s="321">
        <f>ROUND((F34+G34)*Взносы!$C$4,4)</f>
        <v>0.38390000000000002</v>
      </c>
      <c r="K34" s="320">
        <f>ROUND((F34+G34)*Взносы!F$4,4)</f>
        <v>15.3576</v>
      </c>
      <c r="L34" s="501">
        <f t="shared" si="41"/>
        <v>229.25</v>
      </c>
      <c r="M34" s="327"/>
      <c r="N34" s="327">
        <f t="shared" si="42"/>
        <v>759.47</v>
      </c>
      <c r="O34" s="445">
        <v>3.4952399999999999</v>
      </c>
      <c r="P34" s="327">
        <f t="shared" si="10"/>
        <v>2654.53</v>
      </c>
      <c r="Q34" s="392">
        <f t="shared" si="43"/>
        <v>3414</v>
      </c>
      <c r="R34" s="423">
        <f t="shared" si="14"/>
        <v>0</v>
      </c>
      <c r="S34" s="350">
        <f t="shared" ref="S34" si="45">ROUND(SUM(Q34:R34),2)</f>
        <v>3414</v>
      </c>
      <c r="T34" s="554"/>
      <c r="U34" s="689"/>
      <c r="V34" s="540"/>
      <c r="W34" s="540"/>
      <c r="X34" s="540"/>
      <c r="Y34" s="540"/>
      <c r="Z34" s="540"/>
      <c r="AA34" s="540"/>
      <c r="AB34" s="540"/>
      <c r="AC34" s="540"/>
      <c r="AD34" s="541"/>
      <c r="AE34" s="542"/>
      <c r="AF34" s="543"/>
      <c r="AH34" s="533"/>
    </row>
    <row r="35" spans="1:34" s="372" customFormat="1" ht="15" hidden="1" x14ac:dyDescent="0.2">
      <c r="A35" s="704" t="s">
        <v>344</v>
      </c>
      <c r="B35" s="705"/>
      <c r="C35" s="705"/>
      <c r="D35" s="705"/>
      <c r="E35" s="705"/>
      <c r="F35" s="705"/>
      <c r="G35" s="705"/>
      <c r="H35" s="705">
        <f t="shared" si="29"/>
        <v>0</v>
      </c>
      <c r="I35" s="705"/>
      <c r="J35" s="705"/>
      <c r="K35" s="705"/>
      <c r="L35" s="705"/>
      <c r="M35" s="705"/>
      <c r="N35" s="705"/>
      <c r="O35" s="705"/>
      <c r="P35" s="705">
        <f t="shared" si="10"/>
        <v>0</v>
      </c>
      <c r="Q35" s="705"/>
      <c r="R35" s="706"/>
      <c r="S35" s="389">
        <f>SUM(S33:S34)</f>
        <v>6828</v>
      </c>
      <c r="T35" s="555"/>
      <c r="U35" s="431"/>
      <c r="V35" s="540"/>
      <c r="W35" s="540"/>
      <c r="X35" s="540"/>
      <c r="Y35" s="540"/>
      <c r="Z35" s="540"/>
      <c r="AA35" s="540"/>
      <c r="AB35" s="540"/>
      <c r="AC35" s="540"/>
      <c r="AD35" s="541"/>
      <c r="AE35" s="542"/>
      <c r="AF35" s="543"/>
      <c r="AH35" s="533"/>
    </row>
    <row r="36" spans="1:34" ht="40.5" customHeight="1" x14ac:dyDescent="0.2">
      <c r="A36" s="391">
        <v>22</v>
      </c>
      <c r="B36" s="353" t="s">
        <v>345</v>
      </c>
      <c r="C36" s="492" t="s">
        <v>282</v>
      </c>
      <c r="D36" s="440">
        <f>40*60</f>
        <v>2400</v>
      </c>
      <c r="E36" s="316">
        <f>'Зарплата за минуту '!AB31</f>
        <v>0.24260000000000001</v>
      </c>
      <c r="F36" s="380">
        <f t="shared" ref="F36" si="46">ROUND(D36*E36,2)</f>
        <v>582.24</v>
      </c>
      <c r="G36" s="380">
        <f>ROUND(F36*'Дополнительная зп (2)'!E25,2)</f>
        <v>64.05</v>
      </c>
      <c r="H36" s="380">
        <f t="shared" si="29"/>
        <v>246.24</v>
      </c>
      <c r="I36" s="506">
        <f>ROUND((F36+G36)*Взносы!$B$4,4)</f>
        <v>219.73859999999999</v>
      </c>
      <c r="J36" s="318">
        <f>ROUND((F36+G36)*Взносы!$C$4,4)</f>
        <v>0.64629999999999999</v>
      </c>
      <c r="K36" s="317">
        <f>ROUND((F36+G36)*Взносы!F$4,4)</f>
        <v>25.851600000000001</v>
      </c>
      <c r="L36" s="507">
        <f t="shared" ref="L36" si="47">ROUND((F36+G36)*L$9,2)</f>
        <v>385.9</v>
      </c>
      <c r="M36" s="323"/>
      <c r="N36" s="323">
        <f t="shared" ref="N36" si="48">F36+G36+H36+L36+M36</f>
        <v>1278.4299999999998</v>
      </c>
      <c r="O36" s="665">
        <v>3.4984899999999999</v>
      </c>
      <c r="P36" s="323">
        <f t="shared" si="10"/>
        <v>4472.57</v>
      </c>
      <c r="Q36" s="390">
        <f t="shared" ref="Q36" si="49">N36+P36</f>
        <v>5751</v>
      </c>
      <c r="R36" s="426">
        <f t="shared" si="14"/>
        <v>0</v>
      </c>
      <c r="S36" s="342">
        <f t="shared" ref="S36" si="50">ROUND(SUM(Q36:R36),2)</f>
        <v>5751</v>
      </c>
      <c r="T36" s="554"/>
      <c r="U36" s="431"/>
      <c r="V36" s="540">
        <f>F36+G36</f>
        <v>646.29</v>
      </c>
      <c r="W36" s="540">
        <f t="shared" si="11"/>
        <v>246.24</v>
      </c>
      <c r="X36" s="540"/>
      <c r="Y36" s="540">
        <f>F36*0.55</f>
        <v>320.23200000000003</v>
      </c>
      <c r="Z36" s="540">
        <f>F36*0.35</f>
        <v>203.78399999999999</v>
      </c>
      <c r="AA36" s="540">
        <f t="shared" si="16"/>
        <v>0</v>
      </c>
      <c r="AB36" s="540">
        <f t="shared" si="12"/>
        <v>1416.5459999999998</v>
      </c>
      <c r="AC36" s="540">
        <f>(S36-AB36)*20%</f>
        <v>866.89080000000001</v>
      </c>
      <c r="AD36" s="541">
        <f>S36-AB36-AC36</f>
        <v>3467.5631999999996</v>
      </c>
      <c r="AE36" s="542"/>
      <c r="AF36" s="543">
        <f t="shared" si="27"/>
        <v>0</v>
      </c>
      <c r="AH36" s="533"/>
    </row>
    <row r="37" spans="1:34" s="372" customFormat="1" ht="15" hidden="1" x14ac:dyDescent="0.2">
      <c r="A37" s="704" t="s">
        <v>346</v>
      </c>
      <c r="B37" s="705"/>
      <c r="C37" s="705"/>
      <c r="D37" s="705"/>
      <c r="E37" s="705"/>
      <c r="F37" s="705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5"/>
      <c r="R37" s="706"/>
      <c r="S37" s="389">
        <f>SUM(S36)</f>
        <v>5751</v>
      </c>
      <c r="T37" s="555"/>
      <c r="U37" s="431"/>
      <c r="V37" s="540"/>
      <c r="W37" s="540"/>
      <c r="X37" s="540"/>
      <c r="Y37" s="540"/>
      <c r="Z37" s="540"/>
      <c r="AA37" s="540">
        <f t="shared" si="16"/>
        <v>0</v>
      </c>
      <c r="AB37" s="540"/>
      <c r="AC37" s="540"/>
      <c r="AD37" s="541"/>
      <c r="AE37" s="542"/>
      <c r="AF37" s="543"/>
      <c r="AH37" s="533"/>
    </row>
    <row r="38" spans="1:34" ht="51" x14ac:dyDescent="0.2">
      <c r="A38" s="456">
        <v>23</v>
      </c>
      <c r="B38" s="457" t="s">
        <v>348</v>
      </c>
      <c r="C38" s="493" t="s">
        <v>27</v>
      </c>
      <c r="D38" s="442">
        <f>40*60</f>
        <v>2400</v>
      </c>
      <c r="E38" s="343">
        <f>'Зарплата за минуту '!AB33</f>
        <v>0.26</v>
      </c>
      <c r="F38" s="397">
        <f t="shared" ref="F38:F42" si="51">ROUND(D38*E38,2)</f>
        <v>624</v>
      </c>
      <c r="G38" s="397">
        <f>ROUND(F38*'Дополнительная зп (2)'!E27,2)</f>
        <v>68.64</v>
      </c>
      <c r="H38" s="397">
        <f t="shared" si="29"/>
        <v>263.89999999999998</v>
      </c>
      <c r="I38" s="510">
        <f>ROUND((F38+G38)*Взносы!$B$4,4)</f>
        <v>235.49760000000001</v>
      </c>
      <c r="J38" s="346">
        <f>ROUND((F38+G38)*Взносы!$C$4,4)</f>
        <v>0.69259999999999999</v>
      </c>
      <c r="K38" s="345">
        <f>ROUND((F38+G38)*Взносы!F$4,4)</f>
        <v>27.7056</v>
      </c>
      <c r="L38" s="511">
        <f t="shared" ref="L38:L42" si="52">ROUND((F38+G38)*L$9,2)</f>
        <v>413.58</v>
      </c>
      <c r="M38" s="344"/>
      <c r="N38" s="344">
        <f t="shared" ref="N38:N42" si="53">F38+G38+H38+L38+M38</f>
        <v>1370.12</v>
      </c>
      <c r="O38" s="665">
        <v>3.499603</v>
      </c>
      <c r="P38" s="344">
        <f t="shared" si="10"/>
        <v>4794.88</v>
      </c>
      <c r="Q38" s="398">
        <f t="shared" ref="Q38:Q42" si="54">N38+P38</f>
        <v>6165</v>
      </c>
      <c r="R38" s="428">
        <f t="shared" si="14"/>
        <v>0</v>
      </c>
      <c r="S38" s="374">
        <f t="shared" ref="S38:S42" si="55">ROUND(SUM(Q38:R38),2)</f>
        <v>6165</v>
      </c>
      <c r="T38" s="554"/>
      <c r="U38" s="432" t="s">
        <v>347</v>
      </c>
      <c r="V38" s="540">
        <f t="shared" ref="V38:V60" si="56">F38+G38</f>
        <v>692.64</v>
      </c>
      <c r="W38" s="540">
        <f t="shared" si="11"/>
        <v>263.89999999999998</v>
      </c>
      <c r="X38" s="540"/>
      <c r="Y38" s="540">
        <f t="shared" ref="Y38:Y60" si="57">F38*0.55</f>
        <v>343.20000000000005</v>
      </c>
      <c r="Z38" s="540">
        <f t="shared" ref="Z38:Z60" si="58">F38*0.35</f>
        <v>218.39999999999998</v>
      </c>
      <c r="AA38" s="540">
        <f t="shared" si="16"/>
        <v>0</v>
      </c>
      <c r="AB38" s="540">
        <f t="shared" si="12"/>
        <v>1518.1399999999999</v>
      </c>
      <c r="AC38" s="540">
        <f>(S38-AB38)*20%</f>
        <v>929.37200000000018</v>
      </c>
      <c r="AD38" s="541">
        <f>S38-AB38-AC38</f>
        <v>3717.4880000000003</v>
      </c>
      <c r="AE38" s="542"/>
      <c r="AF38" s="543">
        <f t="shared" si="27"/>
        <v>0</v>
      </c>
      <c r="AH38" s="533"/>
    </row>
    <row r="39" spans="1:34" ht="42.75" customHeight="1" x14ac:dyDescent="0.2">
      <c r="A39" s="404">
        <v>24</v>
      </c>
      <c r="B39" s="407" t="s">
        <v>349</v>
      </c>
      <c r="C39" s="690" t="s">
        <v>238</v>
      </c>
      <c r="D39" s="440">
        <f>40*60</f>
        <v>2400</v>
      </c>
      <c r="E39" s="316">
        <f>'Зарплата за минуту '!AB$34</f>
        <v>0.2863</v>
      </c>
      <c r="F39" s="380">
        <f t="shared" si="51"/>
        <v>687.12</v>
      </c>
      <c r="G39" s="380">
        <f>ROUND(F39*'Дополнительная зп (2)'!E28,2)</f>
        <v>75.58</v>
      </c>
      <c r="H39" s="380">
        <f t="shared" si="29"/>
        <v>290.58999999999997</v>
      </c>
      <c r="I39" s="506">
        <f>ROUND((F39+G39)*Взносы!$B$4,4)</f>
        <v>259.31799999999998</v>
      </c>
      <c r="J39" s="318">
        <f>ROUND((F39+G39)*Взносы!$C$4,4)</f>
        <v>0.76270000000000004</v>
      </c>
      <c r="K39" s="317">
        <f>ROUND((F39+G39)*Взносы!F$4,4)</f>
        <v>30.507999999999999</v>
      </c>
      <c r="L39" s="507">
        <f t="shared" si="52"/>
        <v>455.41</v>
      </c>
      <c r="M39" s="323"/>
      <c r="N39" s="323">
        <f t="shared" si="53"/>
        <v>1508.7</v>
      </c>
      <c r="O39" s="665">
        <v>3.4979100000000001</v>
      </c>
      <c r="P39" s="323">
        <f t="shared" si="10"/>
        <v>5277.3</v>
      </c>
      <c r="Q39" s="390">
        <f t="shared" si="54"/>
        <v>6786</v>
      </c>
      <c r="R39" s="426">
        <f t="shared" si="14"/>
        <v>0</v>
      </c>
      <c r="S39" s="342">
        <f t="shared" si="55"/>
        <v>6786</v>
      </c>
      <c r="T39" s="554"/>
      <c r="U39" s="689" t="s">
        <v>285</v>
      </c>
      <c r="V39" s="540">
        <f t="shared" si="56"/>
        <v>762.7</v>
      </c>
      <c r="W39" s="540">
        <f t="shared" si="11"/>
        <v>290.58999999999997</v>
      </c>
      <c r="X39" s="540"/>
      <c r="Y39" s="540">
        <f t="shared" si="57"/>
        <v>377.91600000000005</v>
      </c>
      <c r="Z39" s="540">
        <f t="shared" si="58"/>
        <v>240.49199999999999</v>
      </c>
      <c r="AA39" s="540">
        <f t="shared" si="16"/>
        <v>0</v>
      </c>
      <c r="AB39" s="540">
        <f t="shared" si="12"/>
        <v>1671.6980000000001</v>
      </c>
      <c r="AC39" s="540">
        <f>(S39-AB39)*20%</f>
        <v>1022.8604</v>
      </c>
      <c r="AD39" s="541">
        <f>S39-AB39-AC39</f>
        <v>4091.4415999999997</v>
      </c>
      <c r="AE39" s="542"/>
      <c r="AF39" s="543">
        <f t="shared" si="27"/>
        <v>0</v>
      </c>
      <c r="AH39" s="533"/>
    </row>
    <row r="40" spans="1:34" ht="33" customHeight="1" x14ac:dyDescent="0.2">
      <c r="A40" s="404">
        <v>25</v>
      </c>
      <c r="B40" s="407" t="s">
        <v>350</v>
      </c>
      <c r="C40" s="691"/>
      <c r="D40" s="440">
        <f>40*60</f>
        <v>2400</v>
      </c>
      <c r="E40" s="316">
        <f>'Зарплата за минуту '!AB$34</f>
        <v>0.2863</v>
      </c>
      <c r="F40" s="380">
        <f t="shared" si="51"/>
        <v>687.12</v>
      </c>
      <c r="G40" s="380">
        <f>ROUND(F40*'Дополнительная зп (2)'!E28,2)</f>
        <v>75.58</v>
      </c>
      <c r="H40" s="380">
        <f t="shared" si="29"/>
        <v>290.58999999999997</v>
      </c>
      <c r="I40" s="506">
        <f>ROUND((F40+G40)*Взносы!$B$4,4)</f>
        <v>259.31799999999998</v>
      </c>
      <c r="J40" s="318">
        <f>ROUND((F40+G40)*Взносы!$C$4,4)</f>
        <v>0.76270000000000004</v>
      </c>
      <c r="K40" s="317">
        <f>ROUND((F40+G40)*Взносы!F$4,4)</f>
        <v>30.507999999999999</v>
      </c>
      <c r="L40" s="507">
        <f t="shared" si="52"/>
        <v>455.41</v>
      </c>
      <c r="M40" s="323"/>
      <c r="N40" s="323">
        <f t="shared" si="53"/>
        <v>1508.7</v>
      </c>
      <c r="O40" s="665">
        <v>3.4979100000000001</v>
      </c>
      <c r="P40" s="323">
        <f t="shared" si="10"/>
        <v>5277.3</v>
      </c>
      <c r="Q40" s="390">
        <f t="shared" si="54"/>
        <v>6786</v>
      </c>
      <c r="R40" s="426">
        <f t="shared" si="14"/>
        <v>0</v>
      </c>
      <c r="S40" s="342">
        <f t="shared" si="55"/>
        <v>6786</v>
      </c>
      <c r="T40" s="554"/>
      <c r="U40" s="689"/>
      <c r="V40" s="540">
        <f t="shared" si="56"/>
        <v>762.7</v>
      </c>
      <c r="W40" s="540">
        <f t="shared" si="11"/>
        <v>290.58999999999997</v>
      </c>
      <c r="X40" s="540"/>
      <c r="Y40" s="540">
        <f t="shared" si="57"/>
        <v>377.91600000000005</v>
      </c>
      <c r="Z40" s="540">
        <f t="shared" si="58"/>
        <v>240.49199999999999</v>
      </c>
      <c r="AA40" s="540">
        <f t="shared" si="16"/>
        <v>0</v>
      </c>
      <c r="AB40" s="540">
        <f t="shared" si="12"/>
        <v>1671.6980000000001</v>
      </c>
      <c r="AC40" s="540">
        <f>(S40-AB40)*20%</f>
        <v>1022.8604</v>
      </c>
      <c r="AD40" s="541">
        <f>S40-AB40-AC40</f>
        <v>4091.4415999999997</v>
      </c>
      <c r="AE40" s="542"/>
      <c r="AF40" s="543">
        <f t="shared" si="27"/>
        <v>0</v>
      </c>
      <c r="AH40" s="533"/>
    </row>
    <row r="41" spans="1:34" ht="31.5" customHeight="1" x14ac:dyDescent="0.2">
      <c r="A41" s="405">
        <v>26</v>
      </c>
      <c r="B41" s="407" t="s">
        <v>351</v>
      </c>
      <c r="C41" s="691"/>
      <c r="D41" s="440">
        <f>40*60</f>
        <v>2400</v>
      </c>
      <c r="E41" s="316">
        <f>'Зарплата за минуту '!AB$34</f>
        <v>0.2863</v>
      </c>
      <c r="F41" s="380">
        <f t="shared" si="51"/>
        <v>687.12</v>
      </c>
      <c r="G41" s="380">
        <f>ROUND(F41*'Дополнительная зп (2)'!E28,2)</f>
        <v>75.58</v>
      </c>
      <c r="H41" s="380">
        <f t="shared" si="29"/>
        <v>290.58999999999997</v>
      </c>
      <c r="I41" s="506">
        <f>ROUND((F41+G41)*Взносы!$B$4,4)</f>
        <v>259.31799999999998</v>
      </c>
      <c r="J41" s="318">
        <f>ROUND((F41+G41)*Взносы!$C$4,4)</f>
        <v>0.76270000000000004</v>
      </c>
      <c r="K41" s="317">
        <f>ROUND((F41+G41)*Взносы!F$4,4)</f>
        <v>30.507999999999999</v>
      </c>
      <c r="L41" s="507">
        <f t="shared" si="52"/>
        <v>455.41</v>
      </c>
      <c r="M41" s="323"/>
      <c r="N41" s="323">
        <f t="shared" si="53"/>
        <v>1508.7</v>
      </c>
      <c r="O41" s="665">
        <v>3.4979100000000001</v>
      </c>
      <c r="P41" s="323">
        <f t="shared" si="10"/>
        <v>5277.3</v>
      </c>
      <c r="Q41" s="390">
        <f t="shared" si="54"/>
        <v>6786</v>
      </c>
      <c r="R41" s="426">
        <f t="shared" si="14"/>
        <v>0</v>
      </c>
      <c r="S41" s="342">
        <f t="shared" si="55"/>
        <v>6786</v>
      </c>
      <c r="T41" s="554"/>
      <c r="U41" s="689"/>
      <c r="V41" s="540">
        <f t="shared" si="56"/>
        <v>762.7</v>
      </c>
      <c r="W41" s="540">
        <f t="shared" si="11"/>
        <v>290.58999999999997</v>
      </c>
      <c r="X41" s="540"/>
      <c r="Y41" s="540">
        <f t="shared" si="57"/>
        <v>377.91600000000005</v>
      </c>
      <c r="Z41" s="540">
        <f t="shared" si="58"/>
        <v>240.49199999999999</v>
      </c>
      <c r="AA41" s="540">
        <f t="shared" si="16"/>
        <v>0</v>
      </c>
      <c r="AB41" s="540">
        <f t="shared" si="12"/>
        <v>1671.6980000000001</v>
      </c>
      <c r="AC41" s="540">
        <f>(S41-AB41)*20%</f>
        <v>1022.8604</v>
      </c>
      <c r="AD41" s="541">
        <f>S41-AB41-AC41</f>
        <v>4091.4415999999997</v>
      </c>
      <c r="AE41" s="542"/>
      <c r="AF41" s="543">
        <f t="shared" si="27"/>
        <v>0</v>
      </c>
      <c r="AH41" s="533"/>
    </row>
    <row r="42" spans="1:34" ht="67.5" customHeight="1" x14ac:dyDescent="0.2">
      <c r="A42" s="406">
        <v>27</v>
      </c>
      <c r="B42" s="409" t="s">
        <v>352</v>
      </c>
      <c r="C42" s="692"/>
      <c r="D42" s="440">
        <f>40*60</f>
        <v>2400</v>
      </c>
      <c r="E42" s="319">
        <f>'Зарплата за минуту '!AB$34</f>
        <v>0.2863</v>
      </c>
      <c r="F42" s="352">
        <f t="shared" si="51"/>
        <v>687.12</v>
      </c>
      <c r="G42" s="352">
        <f>ROUND(F42*'Дополнительная зп (2)'!E28,2)</f>
        <v>75.58</v>
      </c>
      <c r="H42" s="352">
        <f t="shared" si="29"/>
        <v>290.58999999999997</v>
      </c>
      <c r="I42" s="500">
        <f>ROUND((F42+G42)*Взносы!$B$4,4)</f>
        <v>259.31799999999998</v>
      </c>
      <c r="J42" s="321">
        <f>ROUND((F42+G42)*Взносы!$C$4,4)</f>
        <v>0.76270000000000004</v>
      </c>
      <c r="K42" s="320">
        <f>ROUND((F42+G42)*Взносы!F$4,4)</f>
        <v>30.507999999999999</v>
      </c>
      <c r="L42" s="501">
        <f t="shared" si="52"/>
        <v>455.41</v>
      </c>
      <c r="M42" s="327"/>
      <c r="N42" s="327">
        <f t="shared" si="53"/>
        <v>1508.7</v>
      </c>
      <c r="O42" s="665">
        <v>3.4998999999999998</v>
      </c>
      <c r="P42" s="327">
        <f t="shared" si="10"/>
        <v>5280.3</v>
      </c>
      <c r="Q42" s="392">
        <f t="shared" si="54"/>
        <v>6789</v>
      </c>
      <c r="R42" s="423">
        <f t="shared" si="14"/>
        <v>0</v>
      </c>
      <c r="S42" s="350">
        <f t="shared" si="55"/>
        <v>6789</v>
      </c>
      <c r="T42" s="554"/>
      <c r="U42" s="689"/>
      <c r="V42" s="540">
        <f t="shared" si="56"/>
        <v>762.7</v>
      </c>
      <c r="W42" s="540">
        <f t="shared" si="11"/>
        <v>290.58999999999997</v>
      </c>
      <c r="X42" s="540"/>
      <c r="Y42" s="540">
        <f t="shared" si="57"/>
        <v>377.91600000000005</v>
      </c>
      <c r="Z42" s="540">
        <f t="shared" si="58"/>
        <v>240.49199999999999</v>
      </c>
      <c r="AA42" s="540">
        <f t="shared" si="16"/>
        <v>0</v>
      </c>
      <c r="AB42" s="540">
        <f t="shared" si="12"/>
        <v>1671.6980000000001</v>
      </c>
      <c r="AC42" s="540">
        <f>(S42-AB42)*20%</f>
        <v>1023.4603999999999</v>
      </c>
      <c r="AD42" s="541">
        <f>S42-AB42-AC42</f>
        <v>4093.8415999999997</v>
      </c>
      <c r="AE42" s="542"/>
      <c r="AF42" s="543">
        <f t="shared" si="27"/>
        <v>0</v>
      </c>
      <c r="AH42" s="533"/>
    </row>
    <row r="43" spans="1:34" s="372" customFormat="1" ht="15" hidden="1" x14ac:dyDescent="0.2">
      <c r="A43" s="704" t="s">
        <v>353</v>
      </c>
      <c r="B43" s="705"/>
      <c r="C43" s="705"/>
      <c r="D43" s="705"/>
      <c r="E43" s="705"/>
      <c r="F43" s="705"/>
      <c r="G43" s="705"/>
      <c r="H43" s="705"/>
      <c r="I43" s="705"/>
      <c r="J43" s="705"/>
      <c r="K43" s="705"/>
      <c r="L43" s="705"/>
      <c r="M43" s="705"/>
      <c r="N43" s="705"/>
      <c r="O43" s="705"/>
      <c r="P43" s="705"/>
      <c r="Q43" s="705"/>
      <c r="R43" s="706"/>
      <c r="S43" s="389">
        <f>SUM(S38:S42)</f>
        <v>33312</v>
      </c>
      <c r="T43" s="555"/>
      <c r="U43" s="431"/>
      <c r="V43" s="540">
        <f t="shared" si="56"/>
        <v>0</v>
      </c>
      <c r="W43" s="540">
        <f t="shared" si="11"/>
        <v>0</v>
      </c>
      <c r="X43" s="540"/>
      <c r="Y43" s="540">
        <f t="shared" si="57"/>
        <v>0</v>
      </c>
      <c r="Z43" s="540">
        <f t="shared" si="58"/>
        <v>0</v>
      </c>
      <c r="AA43" s="540">
        <f t="shared" si="16"/>
        <v>0</v>
      </c>
      <c r="AB43" s="540">
        <f t="shared" si="12"/>
        <v>0</v>
      </c>
      <c r="AC43" s="540"/>
      <c r="AD43" s="541"/>
      <c r="AE43" s="542"/>
      <c r="AF43" s="543" t="e">
        <f t="shared" si="27"/>
        <v>#DIV/0!</v>
      </c>
      <c r="AH43" s="533"/>
    </row>
    <row r="44" spans="1:34" ht="63.75" x14ac:dyDescent="0.2">
      <c r="A44" s="654">
        <v>28</v>
      </c>
      <c r="B44" s="408" t="s">
        <v>354</v>
      </c>
      <c r="C44" s="683" t="str">
        <f>'Зарплата за минуту '!B36</f>
        <v>Врач лучевой диагностики</v>
      </c>
      <c r="D44" s="440">
        <f t="shared" ref="D44:D54" si="59">40*60</f>
        <v>2400</v>
      </c>
      <c r="E44" s="312">
        <f>'Зарплата за минуту '!AB36</f>
        <v>0.22239999999999999</v>
      </c>
      <c r="F44" s="351">
        <f t="shared" ref="F44:F46" si="60">D44*E44</f>
        <v>533.76</v>
      </c>
      <c r="G44" s="351">
        <f>ROUND(F44*'Дополнительная зп (2)'!E$30,2)</f>
        <v>42.7</v>
      </c>
      <c r="H44" s="351">
        <f t="shared" si="29"/>
        <v>219.63</v>
      </c>
      <c r="I44" s="325">
        <f>ROUND((F44+G44)*Взносы!$B$4,4)</f>
        <v>195.99639999999999</v>
      </c>
      <c r="J44" s="325">
        <f>ROUND((F44+G44)*Взносы!$C$4,4)</f>
        <v>0.57650000000000001</v>
      </c>
      <c r="K44" s="325">
        <f>ROUND((F44+G44)*Взносы!F$4,4)</f>
        <v>23.058399999999999</v>
      </c>
      <c r="L44" s="325">
        <f t="shared" ref="L44:L47" si="61">ROUND((F44+G44)*L$9,2)</f>
        <v>344.2</v>
      </c>
      <c r="M44" s="325"/>
      <c r="N44" s="325">
        <f t="shared" ref="N44:N47" si="62">F44+G44+H44+L44+M44</f>
        <v>1140.29</v>
      </c>
      <c r="O44" s="665">
        <v>3.4988549999999998</v>
      </c>
      <c r="P44" s="325">
        <f t="shared" si="10"/>
        <v>3989.71</v>
      </c>
      <c r="Q44" s="325">
        <f>N44+P44</f>
        <v>5130</v>
      </c>
      <c r="R44" s="313">
        <f t="shared" si="14"/>
        <v>0</v>
      </c>
      <c r="S44" s="326">
        <f t="shared" ref="S44:S47" si="63">ROUND(SUM(Q44:R44),2)</f>
        <v>5130</v>
      </c>
      <c r="T44" s="556"/>
      <c r="U44" s="680" t="s">
        <v>287</v>
      </c>
      <c r="V44" s="540">
        <f t="shared" si="56"/>
        <v>576.46</v>
      </c>
      <c r="W44" s="540">
        <f t="shared" si="11"/>
        <v>219.63</v>
      </c>
      <c r="X44" s="540"/>
      <c r="Y44" s="540">
        <f t="shared" si="57"/>
        <v>293.56800000000004</v>
      </c>
      <c r="Z44" s="540">
        <f t="shared" si="58"/>
        <v>186.81599999999997</v>
      </c>
      <c r="AA44" s="540">
        <f t="shared" si="16"/>
        <v>0</v>
      </c>
      <c r="AB44" s="540">
        <f t="shared" si="12"/>
        <v>1276.4740000000002</v>
      </c>
      <c r="AC44" s="540">
        <f t="shared" ref="AC44:AC54" si="64">(S44-AB44)*20%</f>
        <v>770.70519999999999</v>
      </c>
      <c r="AD44" s="541">
        <f t="shared" ref="AD44:AD54" si="65">S44-AB44-AC44</f>
        <v>3082.8208</v>
      </c>
      <c r="AE44" s="542"/>
      <c r="AF44" s="543">
        <f t="shared" si="27"/>
        <v>0</v>
      </c>
      <c r="AH44" s="533"/>
    </row>
    <row r="45" spans="1:34" ht="59.25" customHeight="1" x14ac:dyDescent="0.2">
      <c r="A45" s="322">
        <v>29</v>
      </c>
      <c r="B45" s="407" t="s">
        <v>355</v>
      </c>
      <c r="C45" s="684"/>
      <c r="D45" s="440">
        <f t="shared" si="59"/>
        <v>2400</v>
      </c>
      <c r="E45" s="316">
        <f>'Зарплата за минуту '!AB36</f>
        <v>0.22239999999999999</v>
      </c>
      <c r="F45" s="380">
        <f t="shared" si="60"/>
        <v>533.76</v>
      </c>
      <c r="G45" s="380">
        <f>ROUND(F45*'Дополнительная зп (2)'!E$30,2)</f>
        <v>42.7</v>
      </c>
      <c r="H45" s="380">
        <f t="shared" si="29"/>
        <v>219.63</v>
      </c>
      <c r="I45" s="323">
        <f>ROUND((F45+G45)*Взносы!$B$4,4)</f>
        <v>195.99639999999999</v>
      </c>
      <c r="J45" s="323">
        <f>ROUND((F45+G45)*Взносы!$C$4,4)</f>
        <v>0.57650000000000001</v>
      </c>
      <c r="K45" s="323">
        <f>ROUND((F45+G45)*Взносы!F$4,4)</f>
        <v>23.058399999999999</v>
      </c>
      <c r="L45" s="323">
        <f t="shared" si="61"/>
        <v>344.2</v>
      </c>
      <c r="M45" s="323"/>
      <c r="N45" s="323">
        <f t="shared" si="62"/>
        <v>1140.29</v>
      </c>
      <c r="O45" s="665">
        <v>3.4988549999999998</v>
      </c>
      <c r="P45" s="323">
        <f t="shared" si="10"/>
        <v>3989.71</v>
      </c>
      <c r="Q45" s="323">
        <f t="shared" ref="Q45:Q47" si="66">N45+P45</f>
        <v>5130</v>
      </c>
      <c r="R45" s="317">
        <f t="shared" si="14"/>
        <v>0</v>
      </c>
      <c r="S45" s="324">
        <f t="shared" si="63"/>
        <v>5130</v>
      </c>
      <c r="T45" s="556"/>
      <c r="U45" s="680"/>
      <c r="V45" s="540">
        <f t="shared" si="56"/>
        <v>576.46</v>
      </c>
      <c r="W45" s="540">
        <f t="shared" si="11"/>
        <v>219.63</v>
      </c>
      <c r="X45" s="540"/>
      <c r="Y45" s="540">
        <f t="shared" si="57"/>
        <v>293.56800000000004</v>
      </c>
      <c r="Z45" s="540">
        <f t="shared" si="58"/>
        <v>186.81599999999997</v>
      </c>
      <c r="AA45" s="540">
        <f t="shared" si="16"/>
        <v>0</v>
      </c>
      <c r="AB45" s="540">
        <f t="shared" si="12"/>
        <v>1276.4740000000002</v>
      </c>
      <c r="AC45" s="540">
        <f t="shared" si="64"/>
        <v>770.70519999999999</v>
      </c>
      <c r="AD45" s="541">
        <f t="shared" si="65"/>
        <v>3082.8208</v>
      </c>
      <c r="AE45" s="542"/>
      <c r="AF45" s="543">
        <f t="shared" si="27"/>
        <v>0</v>
      </c>
      <c r="AH45" s="533"/>
    </row>
    <row r="46" spans="1:34" ht="59.25" customHeight="1" x14ac:dyDescent="0.2">
      <c r="A46" s="410">
        <v>30</v>
      </c>
      <c r="B46" s="411" t="s">
        <v>356</v>
      </c>
      <c r="C46" s="685"/>
      <c r="D46" s="440">
        <f t="shared" si="59"/>
        <v>2400</v>
      </c>
      <c r="E46" s="393">
        <f>'Зарплата за минуту '!AB36</f>
        <v>0.22239999999999999</v>
      </c>
      <c r="F46" s="401">
        <f t="shared" si="60"/>
        <v>533.76</v>
      </c>
      <c r="G46" s="401">
        <f>ROUND(F46*'Дополнительная зп (2)'!E$30,2)</f>
        <v>42.7</v>
      </c>
      <c r="H46" s="401">
        <f t="shared" si="29"/>
        <v>219.63</v>
      </c>
      <c r="I46" s="394">
        <f>ROUND((F46+G46)*Взносы!$B$4,4)</f>
        <v>195.99639999999999</v>
      </c>
      <c r="J46" s="394">
        <f>ROUND((F46+G46)*Взносы!$C$4,4)</f>
        <v>0.57650000000000001</v>
      </c>
      <c r="K46" s="394">
        <f>ROUND((F46+G46)*Взносы!F$4,4)</f>
        <v>23.058399999999999</v>
      </c>
      <c r="L46" s="394">
        <f t="shared" si="61"/>
        <v>344.2</v>
      </c>
      <c r="M46" s="394"/>
      <c r="N46" s="394">
        <f t="shared" si="62"/>
        <v>1140.29</v>
      </c>
      <c r="O46" s="665">
        <v>3.4988549999999998</v>
      </c>
      <c r="P46" s="394">
        <f t="shared" si="10"/>
        <v>3989.71</v>
      </c>
      <c r="Q46" s="394">
        <f t="shared" si="66"/>
        <v>5130</v>
      </c>
      <c r="R46" s="396">
        <f t="shared" si="14"/>
        <v>0</v>
      </c>
      <c r="S46" s="412">
        <f t="shared" si="63"/>
        <v>5130</v>
      </c>
      <c r="T46" s="556"/>
      <c r="U46" s="680"/>
      <c r="V46" s="540">
        <f t="shared" si="56"/>
        <v>576.46</v>
      </c>
      <c r="W46" s="540">
        <f t="shared" si="11"/>
        <v>219.63</v>
      </c>
      <c r="X46" s="540"/>
      <c r="Y46" s="540">
        <f t="shared" si="57"/>
        <v>293.56800000000004</v>
      </c>
      <c r="Z46" s="540">
        <f t="shared" si="58"/>
        <v>186.81599999999997</v>
      </c>
      <c r="AA46" s="540">
        <f t="shared" si="16"/>
        <v>0</v>
      </c>
      <c r="AB46" s="540">
        <f t="shared" si="12"/>
        <v>1276.4740000000002</v>
      </c>
      <c r="AC46" s="540">
        <f t="shared" si="64"/>
        <v>770.70519999999999</v>
      </c>
      <c r="AD46" s="541">
        <f t="shared" si="65"/>
        <v>3082.8208</v>
      </c>
      <c r="AE46" s="542"/>
      <c r="AF46" s="543">
        <f t="shared" si="27"/>
        <v>0</v>
      </c>
      <c r="AH46" s="533"/>
    </row>
    <row r="47" spans="1:34" ht="84.75" customHeight="1" x14ac:dyDescent="0.2">
      <c r="A47" s="399">
        <v>31</v>
      </c>
      <c r="B47" s="400" t="s">
        <v>357</v>
      </c>
      <c r="C47" s="494" t="str">
        <f>'Зарплата за минуту '!B37</f>
        <v>Врач-рентгенолог
кабинета рентгенокомпьютерной диагностики</v>
      </c>
      <c r="D47" s="443">
        <f t="shared" si="59"/>
        <v>2400</v>
      </c>
      <c r="E47" s="393">
        <f>'Зарплата за минуту '!AB37</f>
        <v>0.2959</v>
      </c>
      <c r="F47" s="401">
        <f>ROUND(D47*E47,2)</f>
        <v>710.16</v>
      </c>
      <c r="G47" s="401">
        <f>ROUND(F47*'Дополнительная зп (2)'!E31,2)</f>
        <v>78.12</v>
      </c>
      <c r="H47" s="401">
        <f t="shared" si="29"/>
        <v>316.10000000000002</v>
      </c>
      <c r="I47" s="394">
        <f>ROUND((F47+G47)*Взносы!$B$4,4)</f>
        <v>268.01519999999999</v>
      </c>
      <c r="J47" s="395">
        <f>ROUND((F47+G47)*Взносы!$C$4,4)</f>
        <v>0.7883</v>
      </c>
      <c r="K47" s="396">
        <f>ROUND((F47+G47)*Взносы!E$4,4)</f>
        <v>47.296799999999998</v>
      </c>
      <c r="L47" s="394">
        <f t="shared" si="61"/>
        <v>470.68</v>
      </c>
      <c r="M47" s="394"/>
      <c r="N47" s="401">
        <f t="shared" si="62"/>
        <v>1575.0600000000002</v>
      </c>
      <c r="O47" s="673">
        <v>3.4988790000000001</v>
      </c>
      <c r="P47" s="401">
        <f t="shared" si="10"/>
        <v>5510.94</v>
      </c>
      <c r="Q47" s="402">
        <f t="shared" si="66"/>
        <v>7086</v>
      </c>
      <c r="R47" s="429">
        <f t="shared" si="14"/>
        <v>0</v>
      </c>
      <c r="S47" s="403">
        <f t="shared" si="63"/>
        <v>7086</v>
      </c>
      <c r="T47" s="554"/>
      <c r="U47" s="431" t="s">
        <v>288</v>
      </c>
      <c r="V47" s="540">
        <f t="shared" si="56"/>
        <v>788.28</v>
      </c>
      <c r="W47" s="540">
        <f t="shared" si="11"/>
        <v>316.10000000000002</v>
      </c>
      <c r="X47" s="540"/>
      <c r="Y47" s="540">
        <f t="shared" si="57"/>
        <v>390.58800000000002</v>
      </c>
      <c r="Z47" s="540">
        <f t="shared" si="58"/>
        <v>248.55599999999998</v>
      </c>
      <c r="AA47" s="540">
        <f t="shared" si="16"/>
        <v>0</v>
      </c>
      <c r="AB47" s="540">
        <f t="shared" si="12"/>
        <v>1743.5240000000001</v>
      </c>
      <c r="AC47" s="540">
        <f t="shared" si="64"/>
        <v>1068.4952000000001</v>
      </c>
      <c r="AD47" s="541">
        <f t="shared" si="65"/>
        <v>4273.9807999999994</v>
      </c>
      <c r="AE47" s="542"/>
      <c r="AF47" s="543">
        <f t="shared" si="27"/>
        <v>0</v>
      </c>
      <c r="AH47" s="533"/>
    </row>
    <row r="48" spans="1:34" ht="66.75" customHeight="1" x14ac:dyDescent="0.2">
      <c r="A48" s="347">
        <v>32</v>
      </c>
      <c r="B48" s="658" t="s">
        <v>358</v>
      </c>
      <c r="C48" s="687" t="str">
        <f>'Зарплата за минуту '!B38</f>
        <v>Врач-рентгенолог
рентгеновского отделения</v>
      </c>
      <c r="D48" s="435">
        <f t="shared" si="59"/>
        <v>2400</v>
      </c>
      <c r="E48" s="312">
        <f>'Зарплата за минуту '!AB38</f>
        <v>0.28949999999999998</v>
      </c>
      <c r="F48" s="351">
        <f>ROUND(D48*E48,2)</f>
        <v>694.8</v>
      </c>
      <c r="G48" s="351">
        <f>ROUND(F48*'Дополнительная зп (2)'!E32,2)</f>
        <v>76.430000000000007</v>
      </c>
      <c r="H48" s="351">
        <f t="shared" si="29"/>
        <v>309.26</v>
      </c>
      <c r="I48" s="325">
        <f>ROUND((F48+G48)*Взносы!$B$4,4)</f>
        <v>262.21820000000002</v>
      </c>
      <c r="J48" s="325">
        <f>ROUND((F48+G48)*Взносы!$C$4,4)</f>
        <v>0.7712</v>
      </c>
      <c r="K48" s="325">
        <f>ROUND((F48+G48)*Взносы!E$4,4)</f>
        <v>46.273800000000001</v>
      </c>
      <c r="L48" s="325">
        <f>ROUND((F48+G48)*L$9,2)</f>
        <v>460.5</v>
      </c>
      <c r="M48" s="325"/>
      <c r="N48" s="325">
        <f>F48+G48+H48+L48+M48</f>
        <v>1540.99</v>
      </c>
      <c r="O48" s="588">
        <v>3.4990589999999999</v>
      </c>
      <c r="P48" s="325">
        <f t="shared" si="10"/>
        <v>5392.01</v>
      </c>
      <c r="Q48" s="364">
        <f>N48+P48</f>
        <v>6933</v>
      </c>
      <c r="R48" s="422">
        <f>ROUND(Q48*R$9,2)</f>
        <v>0</v>
      </c>
      <c r="S48" s="370">
        <f>ROUND(SUM(Q48:R48),2)</f>
        <v>6933</v>
      </c>
      <c r="T48" s="553"/>
      <c r="U48" s="680" t="s">
        <v>290</v>
      </c>
      <c r="V48" s="540">
        <f t="shared" si="56"/>
        <v>771.23</v>
      </c>
      <c r="W48" s="540">
        <f t="shared" si="11"/>
        <v>309.26</v>
      </c>
      <c r="X48" s="540"/>
      <c r="Y48" s="540">
        <f t="shared" si="57"/>
        <v>382.14</v>
      </c>
      <c r="Z48" s="540">
        <f t="shared" si="58"/>
        <v>243.17999999999998</v>
      </c>
      <c r="AA48" s="540">
        <f t="shared" si="16"/>
        <v>0</v>
      </c>
      <c r="AB48" s="540">
        <f t="shared" si="12"/>
        <v>1705.8100000000002</v>
      </c>
      <c r="AC48" s="540">
        <f t="shared" si="64"/>
        <v>1045.4379999999999</v>
      </c>
      <c r="AD48" s="541">
        <f t="shared" si="65"/>
        <v>4181.7519999999995</v>
      </c>
      <c r="AE48" s="542"/>
      <c r="AF48" s="543">
        <f t="shared" si="27"/>
        <v>0</v>
      </c>
      <c r="AH48" s="533"/>
    </row>
    <row r="49" spans="1:34" ht="15" x14ac:dyDescent="0.2">
      <c r="A49" s="348">
        <v>33</v>
      </c>
      <c r="B49" s="659" t="s">
        <v>359</v>
      </c>
      <c r="C49" s="688"/>
      <c r="D49" s="436">
        <f t="shared" si="59"/>
        <v>2400</v>
      </c>
      <c r="E49" s="319">
        <f>'Зарплата за минуту '!AB38</f>
        <v>0.28949999999999998</v>
      </c>
      <c r="F49" s="352">
        <f>ROUND(D49*E49,2)</f>
        <v>694.8</v>
      </c>
      <c r="G49" s="352">
        <f>ROUND(F49*'Дополнительная зп (2)'!E32,2)</f>
        <v>76.430000000000007</v>
      </c>
      <c r="H49" s="352">
        <f t="shared" si="29"/>
        <v>309.26</v>
      </c>
      <c r="I49" s="327">
        <f>ROUND((F49+G49)*Взносы!$B$4,4)</f>
        <v>262.21820000000002</v>
      </c>
      <c r="J49" s="327">
        <f>ROUND((F49+G49)*Взносы!$C$4,4)</f>
        <v>0.7712</v>
      </c>
      <c r="K49" s="327">
        <f>ROUND((F49+G49)*Взносы!E$4,4)</f>
        <v>46.273800000000001</v>
      </c>
      <c r="L49" s="327">
        <f t="shared" ref="L49" si="67">ROUND((F49+G49)*L$9,2)</f>
        <v>460.5</v>
      </c>
      <c r="M49" s="327"/>
      <c r="N49" s="327">
        <f>F49+G49+H49+L49+M49</f>
        <v>1540.99</v>
      </c>
      <c r="O49" s="672">
        <v>3.4990589999999999</v>
      </c>
      <c r="P49" s="327">
        <f t="shared" si="10"/>
        <v>5392.01</v>
      </c>
      <c r="Q49" s="349">
        <f>N49+P49</f>
        <v>6933</v>
      </c>
      <c r="R49" s="423">
        <f>ROUND(Q49*R$9,2)</f>
        <v>0</v>
      </c>
      <c r="S49" s="350">
        <f>ROUND(SUM(Q49:R49),2)</f>
        <v>6933</v>
      </c>
      <c r="T49" s="554"/>
      <c r="U49" s="680"/>
      <c r="V49" s="540">
        <f t="shared" si="56"/>
        <v>771.23</v>
      </c>
      <c r="W49" s="540">
        <f t="shared" si="11"/>
        <v>309.26</v>
      </c>
      <c r="X49" s="540"/>
      <c r="Y49" s="540">
        <f t="shared" si="57"/>
        <v>382.14</v>
      </c>
      <c r="Z49" s="540">
        <f t="shared" si="58"/>
        <v>243.17999999999998</v>
      </c>
      <c r="AA49" s="540">
        <f t="shared" si="16"/>
        <v>0</v>
      </c>
      <c r="AB49" s="540">
        <f t="shared" si="12"/>
        <v>1705.8100000000002</v>
      </c>
      <c r="AC49" s="540">
        <f t="shared" si="64"/>
        <v>1045.4379999999999</v>
      </c>
      <c r="AD49" s="541">
        <f t="shared" si="65"/>
        <v>4181.7519999999995</v>
      </c>
      <c r="AE49" s="542"/>
      <c r="AF49" s="543">
        <f t="shared" si="27"/>
        <v>0</v>
      </c>
      <c r="AH49" s="533"/>
    </row>
    <row r="50" spans="1:34" ht="111" customHeight="1" x14ac:dyDescent="0.2">
      <c r="A50" s="584">
        <v>34</v>
      </c>
      <c r="B50" s="658" t="s">
        <v>360</v>
      </c>
      <c r="C50" s="618" t="str">
        <f>'Зарплата за минуту '!B39</f>
        <v>Врач-функциональной диагностики</v>
      </c>
      <c r="D50" s="435">
        <f t="shared" si="59"/>
        <v>2400</v>
      </c>
      <c r="E50" s="312">
        <f>'Зарплата за минуту '!AB39</f>
        <v>0.1996</v>
      </c>
      <c r="F50" s="351">
        <f>ROUND(D50*E50,2)</f>
        <v>479.04</v>
      </c>
      <c r="G50" s="351">
        <f>ROUND(F50*'Дополнительная зп (2)'!E33,2)</f>
        <v>38.32</v>
      </c>
      <c r="H50" s="351">
        <f t="shared" si="29"/>
        <v>176.42</v>
      </c>
      <c r="I50" s="325">
        <f>ROUND((F50+G50)*Взносы!$B$4,4)</f>
        <v>175.9024</v>
      </c>
      <c r="J50" s="325">
        <f>ROUND((F50+G50)*Взносы!$C$4,4)</f>
        <v>0.51739999999999997</v>
      </c>
      <c r="K50" s="325">
        <v>0</v>
      </c>
      <c r="L50" s="325">
        <f>ROUND((F50+G50)*L$9,2)</f>
        <v>308.92</v>
      </c>
      <c r="M50" s="325"/>
      <c r="N50" s="325">
        <f>F50+G50+H50+L50+M50</f>
        <v>1002.7</v>
      </c>
      <c r="O50" s="588">
        <v>3.4998499999999999</v>
      </c>
      <c r="P50" s="325">
        <f t="shared" si="10"/>
        <v>3509.3</v>
      </c>
      <c r="Q50" s="364">
        <f>N50+P50</f>
        <v>4512</v>
      </c>
      <c r="R50" s="422">
        <f>ROUND(Q50*R$9,2)</f>
        <v>0</v>
      </c>
      <c r="S50" s="370">
        <f>ROUND(SUM(Q50:R50),2)</f>
        <v>4512</v>
      </c>
      <c r="T50" s="553"/>
      <c r="U50" s="680" t="s">
        <v>291</v>
      </c>
      <c r="V50" s="540">
        <f t="shared" si="56"/>
        <v>517.36</v>
      </c>
      <c r="W50" s="540">
        <f t="shared" si="11"/>
        <v>176.42</v>
      </c>
      <c r="X50" s="540"/>
      <c r="Y50" s="540">
        <f t="shared" si="57"/>
        <v>263.47200000000004</v>
      </c>
      <c r="Z50" s="540">
        <f t="shared" si="58"/>
        <v>167.66399999999999</v>
      </c>
      <c r="AA50" s="540">
        <f t="shared" si="16"/>
        <v>0</v>
      </c>
      <c r="AB50" s="540">
        <f t="shared" si="12"/>
        <v>1124.9159999999999</v>
      </c>
      <c r="AC50" s="540">
        <f t="shared" si="64"/>
        <v>677.41679999999997</v>
      </c>
      <c r="AD50" s="541">
        <f t="shared" si="65"/>
        <v>2709.6671999999999</v>
      </c>
      <c r="AE50" s="542"/>
      <c r="AF50" s="543">
        <f t="shared" si="27"/>
        <v>0</v>
      </c>
      <c r="AH50" s="533"/>
    </row>
    <row r="51" spans="1:34" ht="93.75" customHeight="1" x14ac:dyDescent="0.2">
      <c r="A51" s="591">
        <v>35</v>
      </c>
      <c r="B51" s="659" t="s">
        <v>361</v>
      </c>
      <c r="C51" s="618" t="str">
        <f>'Зарплата за минуту '!B39</f>
        <v>Врач-функциональной диагностики</v>
      </c>
      <c r="D51" s="436">
        <f t="shared" si="59"/>
        <v>2400</v>
      </c>
      <c r="E51" s="319">
        <f>'Зарплата за минуту '!AB39</f>
        <v>0.1996</v>
      </c>
      <c r="F51" s="352">
        <f>ROUND(D51*E51,2)</f>
        <v>479.04</v>
      </c>
      <c r="G51" s="352">
        <f>ROUND(F51*'Дополнительная зп (2)'!E33,2)</f>
        <v>38.32</v>
      </c>
      <c r="H51" s="352">
        <f t="shared" si="29"/>
        <v>176.42</v>
      </c>
      <c r="I51" s="327">
        <f>ROUND((F51+G51)*Взносы!$B$4,4)</f>
        <v>175.9024</v>
      </c>
      <c r="J51" s="327">
        <f>ROUND((F51+G51)*Взносы!$C$4,4)</f>
        <v>0.51739999999999997</v>
      </c>
      <c r="K51" s="327">
        <v>0</v>
      </c>
      <c r="L51" s="327">
        <f t="shared" ref="L51:L54" si="68">ROUND((F51+G51)*L$9,2)</f>
        <v>308.92</v>
      </c>
      <c r="M51" s="327"/>
      <c r="N51" s="327">
        <f>F51+G51+H51+L51+M51</f>
        <v>1002.7</v>
      </c>
      <c r="O51" s="672">
        <v>3.4998499999999999</v>
      </c>
      <c r="P51" s="327">
        <f t="shared" si="10"/>
        <v>3509.3</v>
      </c>
      <c r="Q51" s="349">
        <f>N51+P51</f>
        <v>4512</v>
      </c>
      <c r="R51" s="423">
        <f>ROUND(Q51*R$9,2)</f>
        <v>0</v>
      </c>
      <c r="S51" s="350">
        <f>ROUND(SUM(Q51:R51),2)</f>
        <v>4512</v>
      </c>
      <c r="T51" s="554"/>
      <c r="U51" s="680"/>
      <c r="V51" s="540">
        <f t="shared" si="56"/>
        <v>517.36</v>
      </c>
      <c r="W51" s="540">
        <f t="shared" si="11"/>
        <v>176.42</v>
      </c>
      <c r="X51" s="540"/>
      <c r="Y51" s="540">
        <f t="shared" si="57"/>
        <v>263.47200000000004</v>
      </c>
      <c r="Z51" s="540">
        <f t="shared" si="58"/>
        <v>167.66399999999999</v>
      </c>
      <c r="AA51" s="540">
        <f t="shared" si="16"/>
        <v>0</v>
      </c>
      <c r="AB51" s="540">
        <f t="shared" si="12"/>
        <v>1124.9159999999999</v>
      </c>
      <c r="AC51" s="540">
        <f t="shared" si="64"/>
        <v>677.41679999999997</v>
      </c>
      <c r="AD51" s="541">
        <f t="shared" si="65"/>
        <v>2709.6671999999999</v>
      </c>
      <c r="AE51" s="542"/>
      <c r="AF51" s="543">
        <f t="shared" si="27"/>
        <v>0</v>
      </c>
      <c r="AH51" s="533"/>
    </row>
    <row r="52" spans="1:34" ht="60.75" customHeight="1" x14ac:dyDescent="0.2">
      <c r="A52" s="666">
        <v>36</v>
      </c>
      <c r="B52" s="408" t="s">
        <v>362</v>
      </c>
      <c r="C52" s="683" t="str">
        <f>'Зарплата за минуту '!B39</f>
        <v>Врач-функциональной диагностики</v>
      </c>
      <c r="D52" s="435">
        <f t="shared" si="59"/>
        <v>2400</v>
      </c>
      <c r="E52" s="312">
        <f>'Зарплата за минуту '!AB40</f>
        <v>0.25109999999999999</v>
      </c>
      <c r="F52" s="351">
        <f t="shared" ref="F52:F54" si="69">D52*E52</f>
        <v>602.64</v>
      </c>
      <c r="G52" s="351">
        <f>ROUND(F52*'Дополнительная зп (2)'!E$34,2)</f>
        <v>54.24</v>
      </c>
      <c r="H52" s="351">
        <f t="shared" si="29"/>
        <v>224</v>
      </c>
      <c r="I52" s="325">
        <f>ROUND((F52+G52)*Взносы!$B$4,4)</f>
        <v>223.33920000000001</v>
      </c>
      <c r="J52" s="325">
        <f>ROUND((F52+G52)*Взносы!$C$4,4)</f>
        <v>0.65690000000000004</v>
      </c>
      <c r="K52" s="325">
        <v>0</v>
      </c>
      <c r="L52" s="325">
        <f t="shared" si="68"/>
        <v>392.22</v>
      </c>
      <c r="M52" s="325"/>
      <c r="N52" s="325">
        <f t="shared" ref="N52:N54" si="70">F52+G52+H52+L52+M52</f>
        <v>1273.0999999999999</v>
      </c>
      <c r="O52" s="588">
        <v>3.4984700000000002</v>
      </c>
      <c r="P52" s="325">
        <f t="shared" si="10"/>
        <v>4453.8999999999996</v>
      </c>
      <c r="Q52" s="325">
        <f>N52+P52</f>
        <v>5727</v>
      </c>
      <c r="R52" s="313">
        <f t="shared" ref="R52:R54" si="71">ROUND(Q52*R$9,2)</f>
        <v>0</v>
      </c>
      <c r="S52" s="326">
        <f t="shared" ref="S52:S54" si="72">ROUND(SUM(Q52:R52),2)</f>
        <v>5727</v>
      </c>
      <c r="T52" s="556"/>
      <c r="U52" s="680" t="s">
        <v>365</v>
      </c>
      <c r="V52" s="540">
        <f t="shared" si="56"/>
        <v>656.88</v>
      </c>
      <c r="W52" s="540">
        <f t="shared" si="11"/>
        <v>224</v>
      </c>
      <c r="X52" s="540"/>
      <c r="Y52" s="540">
        <f t="shared" si="57"/>
        <v>331.452</v>
      </c>
      <c r="Z52" s="540">
        <f t="shared" si="58"/>
        <v>210.92399999999998</v>
      </c>
      <c r="AA52" s="540">
        <f t="shared" si="16"/>
        <v>0</v>
      </c>
      <c r="AB52" s="540">
        <f t="shared" si="12"/>
        <v>1423.2559999999999</v>
      </c>
      <c r="AC52" s="540">
        <f t="shared" si="64"/>
        <v>860.74880000000019</v>
      </c>
      <c r="AD52" s="541">
        <f t="shared" si="65"/>
        <v>3442.9952000000003</v>
      </c>
      <c r="AE52" s="542"/>
      <c r="AF52" s="543">
        <f t="shared" si="27"/>
        <v>0</v>
      </c>
      <c r="AH52" s="533"/>
    </row>
    <row r="53" spans="1:34" ht="46.5" customHeight="1" x14ac:dyDescent="0.2">
      <c r="A53" s="667">
        <v>37</v>
      </c>
      <c r="B53" s="407" t="s">
        <v>363</v>
      </c>
      <c r="C53" s="684"/>
      <c r="D53" s="440">
        <f t="shared" si="59"/>
        <v>2400</v>
      </c>
      <c r="E53" s="316">
        <f>'Зарплата за минуту '!AB40</f>
        <v>0.25109999999999999</v>
      </c>
      <c r="F53" s="380">
        <f t="shared" si="69"/>
        <v>602.64</v>
      </c>
      <c r="G53" s="380">
        <f>ROUND(F53*'Дополнительная зп (2)'!E$34,2)</f>
        <v>54.24</v>
      </c>
      <c r="H53" s="380">
        <f t="shared" si="29"/>
        <v>224</v>
      </c>
      <c r="I53" s="323">
        <f>ROUND((F53+G53)*Взносы!$B$4,4)</f>
        <v>223.33920000000001</v>
      </c>
      <c r="J53" s="323">
        <f>ROUND((F53+G53)*Взносы!$C$4,4)</f>
        <v>0.65690000000000004</v>
      </c>
      <c r="K53" s="323">
        <v>0</v>
      </c>
      <c r="L53" s="323">
        <f t="shared" si="68"/>
        <v>392.22</v>
      </c>
      <c r="M53" s="323"/>
      <c r="N53" s="323">
        <f t="shared" si="70"/>
        <v>1273.0999999999999</v>
      </c>
      <c r="O53" s="665">
        <v>3.4984700000000002</v>
      </c>
      <c r="P53" s="323">
        <f t="shared" si="10"/>
        <v>4453.8999999999996</v>
      </c>
      <c r="Q53" s="323">
        <f t="shared" ref="Q53:Q54" si="73">N53+P53</f>
        <v>5727</v>
      </c>
      <c r="R53" s="317">
        <f t="shared" si="71"/>
        <v>0</v>
      </c>
      <c r="S53" s="324">
        <f t="shared" si="72"/>
        <v>5727</v>
      </c>
      <c r="T53" s="556"/>
      <c r="U53" s="680"/>
      <c r="V53" s="540">
        <f t="shared" si="56"/>
        <v>656.88</v>
      </c>
      <c r="W53" s="540">
        <f t="shared" si="11"/>
        <v>224</v>
      </c>
      <c r="X53" s="540"/>
      <c r="Y53" s="540">
        <f t="shared" si="57"/>
        <v>331.452</v>
      </c>
      <c r="Z53" s="540">
        <f t="shared" si="58"/>
        <v>210.92399999999998</v>
      </c>
      <c r="AA53" s="540">
        <f t="shared" si="16"/>
        <v>0</v>
      </c>
      <c r="AB53" s="540">
        <f t="shared" si="12"/>
        <v>1423.2559999999999</v>
      </c>
      <c r="AC53" s="540">
        <f t="shared" si="64"/>
        <v>860.74880000000019</v>
      </c>
      <c r="AD53" s="541">
        <f t="shared" si="65"/>
        <v>3442.9952000000003</v>
      </c>
      <c r="AE53" s="542"/>
      <c r="AF53" s="543">
        <f t="shared" si="27"/>
        <v>0</v>
      </c>
      <c r="AH53" s="533"/>
    </row>
    <row r="54" spans="1:34" ht="42" customHeight="1" x14ac:dyDescent="0.2">
      <c r="A54" s="655">
        <v>38</v>
      </c>
      <c r="B54" s="409" t="s">
        <v>364</v>
      </c>
      <c r="C54" s="686"/>
      <c r="D54" s="438">
        <f t="shared" si="59"/>
        <v>2400</v>
      </c>
      <c r="E54" s="319">
        <f>'Зарплата за минуту '!AB40</f>
        <v>0.25109999999999999</v>
      </c>
      <c r="F54" s="352">
        <f t="shared" si="69"/>
        <v>602.64</v>
      </c>
      <c r="G54" s="352">
        <f>ROUND(F54*'Дополнительная зп (2)'!E$34,2)</f>
        <v>54.24</v>
      </c>
      <c r="H54" s="352">
        <f t="shared" si="29"/>
        <v>224</v>
      </c>
      <c r="I54" s="327">
        <f>ROUND((F54+G54)*Взносы!$B$4,4)</f>
        <v>223.33920000000001</v>
      </c>
      <c r="J54" s="327">
        <f>ROUND((F54+G54)*Взносы!$C$4,4)</f>
        <v>0.65690000000000004</v>
      </c>
      <c r="K54" s="327">
        <v>0</v>
      </c>
      <c r="L54" s="327">
        <f t="shared" si="68"/>
        <v>392.22</v>
      </c>
      <c r="M54" s="327"/>
      <c r="N54" s="327">
        <f t="shared" si="70"/>
        <v>1273.0999999999999</v>
      </c>
      <c r="O54" s="672">
        <v>3.4984700000000002</v>
      </c>
      <c r="P54" s="327">
        <f t="shared" si="10"/>
        <v>4453.8999999999996</v>
      </c>
      <c r="Q54" s="327">
        <f t="shared" si="73"/>
        <v>5727</v>
      </c>
      <c r="R54" s="320">
        <f t="shared" si="71"/>
        <v>0</v>
      </c>
      <c r="S54" s="328">
        <f t="shared" si="72"/>
        <v>5727</v>
      </c>
      <c r="T54" s="556"/>
      <c r="U54" s="680"/>
      <c r="V54" s="540">
        <f t="shared" si="56"/>
        <v>656.88</v>
      </c>
      <c r="W54" s="540">
        <f t="shared" si="11"/>
        <v>224</v>
      </c>
      <c r="X54" s="540"/>
      <c r="Y54" s="540">
        <f t="shared" si="57"/>
        <v>331.452</v>
      </c>
      <c r="Z54" s="540">
        <f t="shared" si="58"/>
        <v>210.92399999999998</v>
      </c>
      <c r="AA54" s="540">
        <f t="shared" si="16"/>
        <v>0</v>
      </c>
      <c r="AB54" s="540">
        <f t="shared" si="12"/>
        <v>1423.2559999999999</v>
      </c>
      <c r="AC54" s="540">
        <f t="shared" si="64"/>
        <v>860.74880000000019</v>
      </c>
      <c r="AD54" s="541">
        <f t="shared" si="65"/>
        <v>3442.9952000000003</v>
      </c>
      <c r="AE54" s="542"/>
      <c r="AF54" s="543">
        <f t="shared" si="27"/>
        <v>0</v>
      </c>
      <c r="AH54" s="533"/>
    </row>
    <row r="55" spans="1:34" s="372" customFormat="1" ht="15" hidden="1" x14ac:dyDescent="0.2">
      <c r="A55" s="704" t="s">
        <v>366</v>
      </c>
      <c r="B55" s="705"/>
      <c r="C55" s="705"/>
      <c r="D55" s="705"/>
      <c r="E55" s="705"/>
      <c r="F55" s="705"/>
      <c r="G55" s="705"/>
      <c r="H55" s="705">
        <f t="shared" si="29"/>
        <v>0</v>
      </c>
      <c r="I55" s="705"/>
      <c r="J55" s="705"/>
      <c r="K55" s="705"/>
      <c r="L55" s="705"/>
      <c r="M55" s="705"/>
      <c r="N55" s="705"/>
      <c r="O55" s="705"/>
      <c r="P55" s="705">
        <f t="shared" si="10"/>
        <v>0</v>
      </c>
      <c r="Q55" s="705"/>
      <c r="R55" s="706"/>
      <c r="S55" s="389">
        <f>SUM(S44:S54)</f>
        <v>62547</v>
      </c>
      <c r="T55" s="555"/>
      <c r="U55" s="431"/>
      <c r="V55" s="540">
        <f t="shared" si="56"/>
        <v>0</v>
      </c>
      <c r="W55" s="540">
        <f t="shared" si="11"/>
        <v>0</v>
      </c>
      <c r="X55" s="540"/>
      <c r="Y55" s="540">
        <f t="shared" si="57"/>
        <v>0</v>
      </c>
      <c r="Z55" s="540">
        <f t="shared" si="58"/>
        <v>0</v>
      </c>
      <c r="AA55" s="540">
        <f t="shared" si="16"/>
        <v>0</v>
      </c>
      <c r="AB55" s="540">
        <f t="shared" si="12"/>
        <v>0</v>
      </c>
      <c r="AC55" s="540"/>
      <c r="AD55" s="541"/>
      <c r="AE55" s="542"/>
      <c r="AF55" s="543"/>
      <c r="AH55" s="533"/>
    </row>
    <row r="56" spans="1:34" ht="29.25" hidden="1" customHeight="1" x14ac:dyDescent="0.2">
      <c r="A56" s="391">
        <v>38</v>
      </c>
      <c r="B56" s="353" t="s">
        <v>367</v>
      </c>
      <c r="C56" s="512" t="s">
        <v>372</v>
      </c>
      <c r="D56" s="440">
        <f>40*60</f>
        <v>2400</v>
      </c>
      <c r="E56" s="316"/>
      <c r="F56" s="380"/>
      <c r="G56" s="380"/>
      <c r="H56" s="380">
        <f t="shared" si="29"/>
        <v>0</v>
      </c>
      <c r="I56" s="506"/>
      <c r="J56" s="318"/>
      <c r="K56" s="317"/>
      <c r="L56" s="507"/>
      <c r="M56" s="323"/>
      <c r="N56" s="323"/>
      <c r="O56" s="448"/>
      <c r="P56" s="323">
        <f t="shared" si="10"/>
        <v>0</v>
      </c>
      <c r="Q56" s="390"/>
      <c r="R56" s="426">
        <f t="shared" ref="R56:R60" si="74">ROUND(Q56*R$9,2)</f>
        <v>0</v>
      </c>
      <c r="S56" s="342">
        <f t="shared" ref="S56:S60" si="75">ROUND(SUM(Q56:R56),2)</f>
        <v>0</v>
      </c>
      <c r="T56" s="554"/>
      <c r="U56" s="431"/>
      <c r="V56" s="540">
        <f t="shared" si="56"/>
        <v>0</v>
      </c>
      <c r="W56" s="540">
        <f t="shared" si="11"/>
        <v>0</v>
      </c>
      <c r="X56" s="540"/>
      <c r="Y56" s="540">
        <f t="shared" si="57"/>
        <v>0</v>
      </c>
      <c r="Z56" s="540">
        <f t="shared" si="58"/>
        <v>0</v>
      </c>
      <c r="AA56" s="540">
        <f t="shared" si="16"/>
        <v>0</v>
      </c>
      <c r="AB56" s="540">
        <f t="shared" si="12"/>
        <v>0</v>
      </c>
      <c r="AC56" s="540">
        <f>(S56-AB56)*20%</f>
        <v>0</v>
      </c>
      <c r="AD56" s="541">
        <f>S56-AB56-AC56</f>
        <v>0</v>
      </c>
      <c r="AE56" s="542"/>
      <c r="AF56" s="543" t="e">
        <f t="shared" si="27"/>
        <v>#DIV/0!</v>
      </c>
      <c r="AH56" s="533"/>
    </row>
    <row r="57" spans="1:34" ht="125.25" customHeight="1" x14ac:dyDescent="0.2">
      <c r="A57" s="391">
        <v>39</v>
      </c>
      <c r="B57" s="353" t="s">
        <v>368</v>
      </c>
      <c r="C57" s="492" t="str">
        <f>'Зарплата за минуту '!B43</f>
        <v>Медицинская сестра-анестезист</v>
      </c>
      <c r="D57" s="440">
        <f>40*60</f>
        <v>2400</v>
      </c>
      <c r="E57" s="316">
        <f>'Зарплата за минуту '!AB43</f>
        <v>0.18790000000000001</v>
      </c>
      <c r="F57" s="380">
        <f t="shared" ref="F57:F60" si="76">ROUND(D57*E57,2)</f>
        <v>450.96</v>
      </c>
      <c r="G57" s="380">
        <f>ROUND(F57*'Дополнительная зп (2)'!E37,2)</f>
        <v>36.08</v>
      </c>
      <c r="H57" s="380">
        <f t="shared" si="29"/>
        <v>185.56</v>
      </c>
      <c r="I57" s="506">
        <f>ROUND((F57+G57)*Взносы!$B$4,4)</f>
        <v>165.59360000000001</v>
      </c>
      <c r="J57" s="318">
        <f>ROUND((F57+G57)*Взносы!$C$4,4)</f>
        <v>0.48699999999999999</v>
      </c>
      <c r="K57" s="317">
        <f>ROUND((F57+G57)*Взносы!F$4,4)</f>
        <v>19.4816</v>
      </c>
      <c r="L57" s="507">
        <f t="shared" ref="L57:L60" si="77">ROUND((F57+G57)*L$9,2)</f>
        <v>290.81</v>
      </c>
      <c r="M57" s="323"/>
      <c r="N57" s="323">
        <f t="shared" ref="N57:N60" si="78">F57+G57+H57+L57+M57</f>
        <v>963.40999999999985</v>
      </c>
      <c r="O57" s="665">
        <v>3.4996399999999999</v>
      </c>
      <c r="P57" s="323">
        <f t="shared" si="10"/>
        <v>3371.59</v>
      </c>
      <c r="Q57" s="390">
        <f t="shared" ref="Q57:Q60" si="79">N57+P57</f>
        <v>4335</v>
      </c>
      <c r="R57" s="426">
        <f t="shared" si="74"/>
        <v>0</v>
      </c>
      <c r="S57" s="342">
        <f t="shared" si="75"/>
        <v>4335</v>
      </c>
      <c r="T57" s="554"/>
      <c r="U57" s="337" t="str">
        <f>'Зарплата за минуту '!AC43</f>
        <v>Лысуха Л.Н. оар 1</v>
      </c>
      <c r="V57" s="540">
        <f t="shared" si="56"/>
        <v>487.03999999999996</v>
      </c>
      <c r="W57" s="540">
        <f t="shared" si="11"/>
        <v>185.56</v>
      </c>
      <c r="X57" s="540"/>
      <c r="Y57" s="540">
        <f t="shared" si="57"/>
        <v>248.02800000000002</v>
      </c>
      <c r="Z57" s="540">
        <f t="shared" si="58"/>
        <v>157.83599999999998</v>
      </c>
      <c r="AA57" s="540">
        <f t="shared" si="16"/>
        <v>0</v>
      </c>
      <c r="AB57" s="540">
        <f t="shared" si="12"/>
        <v>1078.4639999999999</v>
      </c>
      <c r="AC57" s="540">
        <f>(S57-AB57)*20%</f>
        <v>651.30720000000008</v>
      </c>
      <c r="AD57" s="541">
        <f>S57-AB57-AC57</f>
        <v>2605.2287999999999</v>
      </c>
      <c r="AE57" s="542"/>
      <c r="AF57" s="543">
        <f t="shared" si="27"/>
        <v>0</v>
      </c>
      <c r="AH57" s="533"/>
    </row>
    <row r="58" spans="1:34" ht="120.75" customHeight="1" x14ac:dyDescent="0.2">
      <c r="A58" s="391">
        <v>40</v>
      </c>
      <c r="B58" s="353" t="s">
        <v>369</v>
      </c>
      <c r="C58" s="492" t="str">
        <f>'Зарплата за минуту '!B44</f>
        <v>Медицинская сестра  централизованного стерилизационного отделения</v>
      </c>
      <c r="D58" s="440">
        <f>40*60</f>
        <v>2400</v>
      </c>
      <c r="E58" s="316">
        <f>'Зарплата за минуту '!AB44</f>
        <v>0.1439</v>
      </c>
      <c r="F58" s="380">
        <f t="shared" si="76"/>
        <v>345.36</v>
      </c>
      <c r="G58" s="380">
        <f>ROUND(F58*'Дополнительная зп (2)'!E38,2)</f>
        <v>24.18</v>
      </c>
      <c r="H58" s="380">
        <f t="shared" si="29"/>
        <v>126.01</v>
      </c>
      <c r="I58" s="506">
        <f>ROUND((F58+G58)*Взносы!$B$4,4)</f>
        <v>125.64360000000001</v>
      </c>
      <c r="J58" s="318">
        <f>ROUND((F58+G58)*Взносы!$C$4,4)</f>
        <v>0.3695</v>
      </c>
      <c r="K58" s="317">
        <v>0</v>
      </c>
      <c r="L58" s="507">
        <f t="shared" si="77"/>
        <v>220.65</v>
      </c>
      <c r="M58" s="323"/>
      <c r="N58" s="323">
        <f t="shared" si="78"/>
        <v>716.2</v>
      </c>
      <c r="O58" s="665">
        <v>3.4987499999999998</v>
      </c>
      <c r="P58" s="323">
        <f t="shared" si="10"/>
        <v>2505.8000000000002</v>
      </c>
      <c r="Q58" s="390">
        <f t="shared" si="79"/>
        <v>3222</v>
      </c>
      <c r="R58" s="426">
        <f t="shared" si="74"/>
        <v>0</v>
      </c>
      <c r="S58" s="342">
        <f t="shared" si="75"/>
        <v>3222</v>
      </c>
      <c r="T58" s="554"/>
      <c r="U58" s="337" t="str">
        <f>'Зарплата за минуту '!AC44</f>
        <v>антонович</v>
      </c>
      <c r="V58" s="540">
        <f t="shared" si="56"/>
        <v>369.54</v>
      </c>
      <c r="W58" s="540">
        <f t="shared" si="11"/>
        <v>126.01</v>
      </c>
      <c r="X58" s="540"/>
      <c r="Y58" s="540">
        <f t="shared" si="57"/>
        <v>189.94800000000004</v>
      </c>
      <c r="Z58" s="540">
        <f t="shared" si="58"/>
        <v>120.87599999999999</v>
      </c>
      <c r="AA58" s="540">
        <f t="shared" si="16"/>
        <v>0</v>
      </c>
      <c r="AB58" s="540">
        <f t="shared" si="12"/>
        <v>806.37400000000002</v>
      </c>
      <c r="AC58" s="540">
        <f>(S58-AB58)*20%</f>
        <v>483.12520000000006</v>
      </c>
      <c r="AD58" s="541">
        <f>S58-AB58-AC58</f>
        <v>1932.5008000000003</v>
      </c>
      <c r="AE58" s="542"/>
      <c r="AF58" s="543">
        <f t="shared" si="27"/>
        <v>0</v>
      </c>
      <c r="AH58" s="533"/>
    </row>
    <row r="59" spans="1:34" ht="131.25" customHeight="1" x14ac:dyDescent="0.2">
      <c r="A59" s="391">
        <v>41</v>
      </c>
      <c r="B59" s="353" t="s">
        <v>370</v>
      </c>
      <c r="C59" s="492" t="str">
        <f>'Зарплата за минуту '!B45</f>
        <v>Медицинская сестра отделения гемодиализа с экстракорпоральными методами детоксикации</v>
      </c>
      <c r="D59" s="440">
        <f>40*60</f>
        <v>2400</v>
      </c>
      <c r="E59" s="316">
        <f>'Зарплата за минуту '!AB45</f>
        <v>0.16270000000000001</v>
      </c>
      <c r="F59" s="380">
        <f t="shared" si="76"/>
        <v>390.48</v>
      </c>
      <c r="G59" s="380">
        <f>ROUND(F59*'Дополнительная зп (2)'!E39,2)</f>
        <v>31.24</v>
      </c>
      <c r="H59" s="380">
        <f t="shared" si="29"/>
        <v>143.81</v>
      </c>
      <c r="I59" s="506">
        <f>ROUND((F59+G59)*Взносы!$B$4,4)</f>
        <v>143.38480000000001</v>
      </c>
      <c r="J59" s="318">
        <f>ROUND((F59+G59)*Взносы!$C$4,4)</f>
        <v>0.42170000000000002</v>
      </c>
      <c r="K59" s="317">
        <v>0</v>
      </c>
      <c r="L59" s="507">
        <f t="shared" si="77"/>
        <v>251.81</v>
      </c>
      <c r="M59" s="323"/>
      <c r="N59" s="323">
        <f t="shared" si="78"/>
        <v>817.33999999999992</v>
      </c>
      <c r="O59" s="665">
        <v>3.4999600000000002</v>
      </c>
      <c r="P59" s="323">
        <f t="shared" si="10"/>
        <v>2860.66</v>
      </c>
      <c r="Q59" s="390">
        <f t="shared" si="79"/>
        <v>3678</v>
      </c>
      <c r="R59" s="426">
        <f t="shared" si="74"/>
        <v>0</v>
      </c>
      <c r="S59" s="342">
        <f t="shared" si="75"/>
        <v>3678</v>
      </c>
      <c r="T59" s="554"/>
      <c r="U59" s="337" t="str">
        <f>'Зарплата за минуту '!AC45</f>
        <v>шапель ю.в.</v>
      </c>
      <c r="V59" s="540">
        <f t="shared" si="56"/>
        <v>421.72</v>
      </c>
      <c r="W59" s="540">
        <f t="shared" si="11"/>
        <v>143.81</v>
      </c>
      <c r="X59" s="540"/>
      <c r="Y59" s="540">
        <f t="shared" si="57"/>
        <v>214.76400000000004</v>
      </c>
      <c r="Z59" s="540">
        <f t="shared" si="58"/>
        <v>136.66800000000001</v>
      </c>
      <c r="AA59" s="540">
        <f t="shared" si="16"/>
        <v>0</v>
      </c>
      <c r="AB59" s="540">
        <f t="shared" si="12"/>
        <v>916.96199999999999</v>
      </c>
      <c r="AC59" s="540">
        <f>(S59-AB59)*20%</f>
        <v>552.20760000000007</v>
      </c>
      <c r="AD59" s="541">
        <f>S59-AB59-AC59</f>
        <v>2208.8303999999998</v>
      </c>
      <c r="AE59" s="542"/>
      <c r="AF59" s="543">
        <f t="shared" si="27"/>
        <v>0</v>
      </c>
      <c r="AH59" s="533"/>
    </row>
    <row r="60" spans="1:34" ht="101.25" customHeight="1" x14ac:dyDescent="0.2">
      <c r="A60" s="348">
        <v>42</v>
      </c>
      <c r="B60" s="376" t="s">
        <v>371</v>
      </c>
      <c r="C60" s="490" t="str">
        <f>'Зарплата за минуту '!B46</f>
        <v>Медицинская сестра операционного хирургического блока</v>
      </c>
      <c r="D60" s="438">
        <f>40*60</f>
        <v>2400</v>
      </c>
      <c r="E60" s="319">
        <f>'Зарплата за минуту '!AB46</f>
        <v>0.1731</v>
      </c>
      <c r="F60" s="352">
        <f t="shared" si="76"/>
        <v>415.44</v>
      </c>
      <c r="G60" s="352">
        <f>ROUND(F60*'Дополнительная зп (2)'!E40,2)</f>
        <v>37.39</v>
      </c>
      <c r="H60" s="352">
        <f t="shared" si="29"/>
        <v>172.53</v>
      </c>
      <c r="I60" s="500">
        <f>ROUND((F60+G60)*Взносы!$B$4,4)</f>
        <v>153.9622</v>
      </c>
      <c r="J60" s="321">
        <f>ROUND((F60+G60)*Взносы!$C$4,4)</f>
        <v>0.45279999999999998</v>
      </c>
      <c r="K60" s="320">
        <f>ROUND((F60+G60)*Взносы!F$4,4)</f>
        <v>18.113199999999999</v>
      </c>
      <c r="L60" s="501">
        <f t="shared" si="77"/>
        <v>270.38</v>
      </c>
      <c r="M60" s="327"/>
      <c r="N60" s="327">
        <f t="shared" si="78"/>
        <v>895.74</v>
      </c>
      <c r="O60" s="672">
        <v>3.4990700000000001</v>
      </c>
      <c r="P60" s="327">
        <f t="shared" si="10"/>
        <v>3134.26</v>
      </c>
      <c r="Q60" s="392">
        <f t="shared" si="79"/>
        <v>4030</v>
      </c>
      <c r="R60" s="423">
        <f t="shared" si="74"/>
        <v>0</v>
      </c>
      <c r="S60" s="350">
        <f t="shared" si="75"/>
        <v>4030</v>
      </c>
      <c r="T60" s="554"/>
      <c r="U60" s="337" t="str">
        <f>'Зарплата за минуту '!AC46</f>
        <v>Зайченко опер хир блок</v>
      </c>
      <c r="V60" s="540">
        <f t="shared" si="56"/>
        <v>452.83</v>
      </c>
      <c r="W60" s="540">
        <f t="shared" si="11"/>
        <v>172.53</v>
      </c>
      <c r="X60" s="540"/>
      <c r="Y60" s="540">
        <f t="shared" si="57"/>
        <v>228.49200000000002</v>
      </c>
      <c r="Z60" s="540">
        <f t="shared" si="58"/>
        <v>145.404</v>
      </c>
      <c r="AA60" s="540">
        <f t="shared" si="16"/>
        <v>0</v>
      </c>
      <c r="AB60" s="540">
        <f t="shared" si="12"/>
        <v>999.25600000000009</v>
      </c>
      <c r="AC60" s="540">
        <f>(S60-AB60)*20%</f>
        <v>606.14879999999994</v>
      </c>
      <c r="AD60" s="541">
        <f>S60-AB60-AC60</f>
        <v>2424.5951999999997</v>
      </c>
      <c r="AE60" s="542"/>
      <c r="AF60" s="543">
        <f t="shared" si="27"/>
        <v>0</v>
      </c>
      <c r="AH60" s="533"/>
    </row>
    <row r="61" spans="1:34" s="372" customFormat="1" ht="26.25" hidden="1" customHeight="1" x14ac:dyDescent="0.2">
      <c r="A61" s="704" t="s">
        <v>373</v>
      </c>
      <c r="B61" s="705"/>
      <c r="C61" s="705"/>
      <c r="D61" s="705"/>
      <c r="E61" s="705"/>
      <c r="F61" s="705"/>
      <c r="G61" s="705"/>
      <c r="H61" s="705"/>
      <c r="I61" s="705"/>
      <c r="J61" s="705"/>
      <c r="K61" s="705"/>
      <c r="L61" s="705"/>
      <c r="M61" s="705"/>
      <c r="N61" s="705"/>
      <c r="O61" s="705"/>
      <c r="P61" s="705"/>
      <c r="Q61" s="705"/>
      <c r="R61" s="706"/>
      <c r="S61" s="389">
        <f>SUM(S56:S60)</f>
        <v>15265</v>
      </c>
      <c r="T61" s="555"/>
      <c r="U61" s="431"/>
      <c r="V61" s="167"/>
      <c r="W61" s="167"/>
      <c r="X61" s="167"/>
      <c r="Y61" s="167"/>
      <c r="Z61" s="167"/>
      <c r="AA61" s="167"/>
      <c r="AB61" s="167"/>
      <c r="AC61" s="167"/>
      <c r="AD61" s="534"/>
      <c r="AE61" s="545"/>
      <c r="AF61" s="167"/>
    </row>
    <row r="62" spans="1:34" s="372" customFormat="1" ht="23.25" hidden="1" customHeight="1" x14ac:dyDescent="0.2">
      <c r="A62" s="681" t="s">
        <v>165</v>
      </c>
      <c r="B62" s="682"/>
      <c r="C62" s="381"/>
      <c r="D62" s="441"/>
      <c r="E62" s="382"/>
      <c r="F62" s="383"/>
      <c r="G62" s="383"/>
      <c r="H62" s="384"/>
      <c r="I62" s="508"/>
      <c r="J62" s="385"/>
      <c r="K62" s="386"/>
      <c r="L62" s="509"/>
      <c r="M62" s="384"/>
      <c r="N62" s="384"/>
      <c r="O62" s="387"/>
      <c r="P62" s="384"/>
      <c r="Q62" s="388"/>
      <c r="R62" s="427"/>
      <c r="S62" s="389">
        <f>S61+S55+S43+S37+S35+S32+S27+S19</f>
        <v>218380</v>
      </c>
      <c r="T62" s="555"/>
      <c r="U62" s="431"/>
      <c r="V62" s="167"/>
      <c r="W62" s="167"/>
      <c r="X62" s="167"/>
      <c r="Y62" s="167"/>
      <c r="Z62" s="167"/>
      <c r="AA62" s="167"/>
      <c r="AB62" s="167"/>
      <c r="AC62" s="167"/>
      <c r="AD62" s="534"/>
      <c r="AE62" s="545"/>
      <c r="AF62" s="167"/>
    </row>
    <row r="64" spans="1:34" x14ac:dyDescent="0.2">
      <c r="A64" s="679" t="s">
        <v>25</v>
      </c>
      <c r="B64" s="679"/>
      <c r="C64" s="495" t="s">
        <v>34</v>
      </c>
    </row>
    <row r="65" spans="1:3" x14ac:dyDescent="0.2">
      <c r="A65" s="660"/>
      <c r="B65" s="660"/>
      <c r="C65" s="495"/>
    </row>
    <row r="66" spans="1:3" x14ac:dyDescent="0.2">
      <c r="A66" s="679" t="s">
        <v>39</v>
      </c>
      <c r="B66" s="679"/>
      <c r="C66" s="495" t="s">
        <v>32</v>
      </c>
    </row>
    <row r="67" spans="1:3" x14ac:dyDescent="0.2">
      <c r="A67" s="660"/>
      <c r="B67" s="660"/>
      <c r="C67" s="495"/>
    </row>
    <row r="68" spans="1:3" x14ac:dyDescent="0.2">
      <c r="A68" s="679" t="s">
        <v>22</v>
      </c>
      <c r="B68" s="679"/>
      <c r="C68" s="495" t="s">
        <v>33</v>
      </c>
    </row>
  </sheetData>
  <mergeCells count="43">
    <mergeCell ref="A61:R61"/>
    <mergeCell ref="A62:B62"/>
    <mergeCell ref="A64:B64"/>
    <mergeCell ref="A66:B66"/>
    <mergeCell ref="A68:B68"/>
    <mergeCell ref="A55:R55"/>
    <mergeCell ref="A35:R35"/>
    <mergeCell ref="A37:R37"/>
    <mergeCell ref="C39:C42"/>
    <mergeCell ref="U39:U42"/>
    <mergeCell ref="A43:R43"/>
    <mergeCell ref="C44:C46"/>
    <mergeCell ref="U44:U46"/>
    <mergeCell ref="C48:C49"/>
    <mergeCell ref="U48:U49"/>
    <mergeCell ref="U50:U51"/>
    <mergeCell ref="C52:C54"/>
    <mergeCell ref="U52:U54"/>
    <mergeCell ref="C23:C25"/>
    <mergeCell ref="U23:U25"/>
    <mergeCell ref="A27:R27"/>
    <mergeCell ref="A32:R32"/>
    <mergeCell ref="C33:C34"/>
    <mergeCell ref="U33:U34"/>
    <mergeCell ref="AE7:AE8"/>
    <mergeCell ref="C10:C11"/>
    <mergeCell ref="C12:C13"/>
    <mergeCell ref="C14:C15"/>
    <mergeCell ref="A19:R19"/>
    <mergeCell ref="AB7:AB8"/>
    <mergeCell ref="AC7:AC8"/>
    <mergeCell ref="AD7:AD8"/>
    <mergeCell ref="A20:A21"/>
    <mergeCell ref="B20:B21"/>
    <mergeCell ref="Y7:Y8"/>
    <mergeCell ref="Z7:Z8"/>
    <mergeCell ref="AA7:AA8"/>
    <mergeCell ref="X7:X8"/>
    <mergeCell ref="N1:S1"/>
    <mergeCell ref="O2:S2"/>
    <mergeCell ref="A5:S5"/>
    <mergeCell ref="V7:V8"/>
    <mergeCell ref="W7:W8"/>
  </mergeCells>
  <pageMargins left="0.78740157480314965" right="0" top="0.78740157480314965" bottom="0.35433070866141736" header="0.31496062992125984" footer="0.31496062992125984"/>
  <pageSetup paperSize="9" scale="65" orientation="landscape" r:id="rId1"/>
  <rowBreaks count="3" manualBreakCount="3">
    <brk id="42" max="20" man="1"/>
    <brk id="50" max="20" man="1"/>
    <brk id="68" max="20" man="1"/>
  </rowBreaks>
  <colBreaks count="1" manualBreakCount="1">
    <brk id="30" min="4" max="67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75"/>
  <sheetViews>
    <sheetView zoomScale="90" zoomScaleNormal="90" workbookViewId="0">
      <selection activeCell="H18" sqref="H18"/>
    </sheetView>
  </sheetViews>
  <sheetFormatPr defaultRowHeight="16.5" x14ac:dyDescent="0.25"/>
  <cols>
    <col min="1" max="1" width="7" style="1" customWidth="1"/>
    <col min="2" max="2" width="32" style="1" customWidth="1"/>
    <col min="3" max="5" width="15.85546875" style="1" customWidth="1"/>
    <col min="6" max="6" width="13.5703125" style="1" hidden="1" customWidth="1"/>
    <col min="7" max="7" width="25" style="1" hidden="1" customWidth="1"/>
    <col min="8" max="8" width="12.140625" style="1" hidden="1" customWidth="1"/>
    <col min="9" max="9" width="13.85546875" style="1" hidden="1" customWidth="1"/>
    <col min="10" max="10" width="9.85546875" style="1" hidden="1" customWidth="1"/>
    <col min="11" max="12" width="12.42578125" style="1" hidden="1" customWidth="1"/>
    <col min="13" max="13" width="14.28515625" style="1" hidden="1" customWidth="1"/>
    <col min="14" max="14" width="14.28515625" style="18" hidden="1" customWidth="1"/>
    <col min="15" max="15" width="14.7109375" style="1" hidden="1" customWidth="1"/>
    <col min="16" max="16" width="13" style="1" hidden="1" customWidth="1"/>
    <col min="17" max="17" width="13.42578125" style="1" hidden="1" customWidth="1"/>
    <col min="18" max="18" width="13" style="13" hidden="1" customWidth="1"/>
    <col min="19" max="19" width="13.42578125" style="13" hidden="1" customWidth="1"/>
    <col min="20" max="21" width="20.42578125" style="1" hidden="1" customWidth="1"/>
    <col min="22" max="22" width="13" style="1" hidden="1" customWidth="1"/>
    <col min="23" max="23" width="12" style="1" hidden="1" customWidth="1"/>
    <col min="24" max="24" width="18.140625" style="1" hidden="1" customWidth="1"/>
    <col min="25" max="25" width="16.7109375" style="18" hidden="1" customWidth="1"/>
    <col min="26" max="26" width="19.42578125" style="1" hidden="1" customWidth="1"/>
    <col min="27" max="27" width="11.85546875" style="1" hidden="1" customWidth="1"/>
    <col min="28" max="28" width="13" style="1" hidden="1" customWidth="1"/>
    <col min="29" max="29" width="39.7109375" style="8" hidden="1" customWidth="1"/>
    <col min="30" max="30" width="16" style="8" hidden="1" customWidth="1"/>
    <col min="31" max="32" width="0" style="1" hidden="1" customWidth="1"/>
    <col min="33" max="16384" width="9.140625" style="1"/>
  </cols>
  <sheetData>
    <row r="1" spans="1:31" s="22" customFormat="1" ht="69" customHeight="1" x14ac:dyDescent="0.2">
      <c r="A1" s="726" t="s">
        <v>383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27"/>
      <c r="AA1" s="727"/>
      <c r="AB1" s="727"/>
    </row>
    <row r="2" spans="1:31" s="5" customFormat="1" ht="15" customHeight="1" x14ac:dyDescent="0.25">
      <c r="A2" s="4"/>
      <c r="B2" s="1"/>
      <c r="C2" s="1"/>
      <c r="D2" s="1"/>
      <c r="E2" s="1"/>
      <c r="F2" s="1"/>
      <c r="I2" s="1"/>
      <c r="J2" s="1"/>
      <c r="K2" s="1"/>
      <c r="L2" s="1"/>
      <c r="N2" s="17"/>
      <c r="R2" s="59"/>
      <c r="S2" s="59"/>
      <c r="Y2" s="17"/>
    </row>
    <row r="3" spans="1:31" ht="15" customHeight="1" x14ac:dyDescent="0.25">
      <c r="I3" s="1" t="s">
        <v>43</v>
      </c>
      <c r="K3" s="23">
        <v>253</v>
      </c>
      <c r="L3" s="24"/>
    </row>
    <row r="4" spans="1:31" s="26" customFormat="1" ht="33" customHeight="1" x14ac:dyDescent="0.2">
      <c r="A4" s="728" t="s">
        <v>0</v>
      </c>
      <c r="B4" s="719" t="s">
        <v>23</v>
      </c>
      <c r="C4" s="719" t="s">
        <v>259</v>
      </c>
      <c r="D4" s="719" t="s">
        <v>260</v>
      </c>
      <c r="E4" s="719" t="s">
        <v>261</v>
      </c>
      <c r="F4" s="731" t="s">
        <v>26</v>
      </c>
      <c r="G4" s="732"/>
      <c r="H4" s="732"/>
      <c r="I4" s="732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  <c r="W4" s="732"/>
      <c r="X4" s="732"/>
      <c r="Y4" s="732"/>
      <c r="Z4" s="733"/>
      <c r="AA4" s="166" t="s">
        <v>21</v>
      </c>
      <c r="AB4" s="719" t="s">
        <v>44</v>
      </c>
      <c r="AC4" s="25"/>
      <c r="AD4" s="25"/>
    </row>
    <row r="5" spans="1:31" s="26" customFormat="1" ht="25.5" customHeight="1" x14ac:dyDescent="0.2">
      <c r="A5" s="729"/>
      <c r="B5" s="720"/>
      <c r="C5" s="720"/>
      <c r="D5" s="720"/>
      <c r="E5" s="720"/>
      <c r="F5" s="719" t="s">
        <v>45</v>
      </c>
      <c r="G5" s="728" t="s">
        <v>24</v>
      </c>
      <c r="H5" s="734" t="s">
        <v>24</v>
      </c>
      <c r="I5" s="734"/>
      <c r="J5" s="734"/>
      <c r="K5" s="734"/>
      <c r="L5" s="734"/>
      <c r="M5" s="734"/>
      <c r="N5" s="734"/>
      <c r="O5" s="734"/>
      <c r="P5" s="734"/>
      <c r="Q5" s="734"/>
      <c r="R5" s="734"/>
      <c r="S5" s="734"/>
      <c r="T5" s="734"/>
      <c r="U5" s="734"/>
      <c r="V5" s="734"/>
      <c r="W5" s="735"/>
      <c r="X5" s="715" t="s">
        <v>46</v>
      </c>
      <c r="Y5" s="715" t="s">
        <v>37</v>
      </c>
      <c r="Z5" s="717" t="s">
        <v>47</v>
      </c>
      <c r="AA5" s="720" t="s">
        <v>66</v>
      </c>
      <c r="AB5" s="720"/>
      <c r="AC5" s="25"/>
      <c r="AD5" s="25"/>
    </row>
    <row r="6" spans="1:31" s="26" customFormat="1" ht="96" customHeight="1" x14ac:dyDescent="0.2">
      <c r="A6" s="729"/>
      <c r="B6" s="720"/>
      <c r="C6" s="720"/>
      <c r="D6" s="720"/>
      <c r="E6" s="720"/>
      <c r="F6" s="720"/>
      <c r="G6" s="729"/>
      <c r="H6" s="725" t="s">
        <v>48</v>
      </c>
      <c r="I6" s="725"/>
      <c r="J6" s="725" t="s">
        <v>49</v>
      </c>
      <c r="K6" s="725"/>
      <c r="L6" s="725" t="s">
        <v>50</v>
      </c>
      <c r="M6" s="725"/>
      <c r="N6" s="725" t="s">
        <v>65</v>
      </c>
      <c r="O6" s="725"/>
      <c r="P6" s="725" t="s">
        <v>51</v>
      </c>
      <c r="Q6" s="725"/>
      <c r="R6" s="736" t="s">
        <v>64</v>
      </c>
      <c r="S6" s="736"/>
      <c r="T6" s="725" t="s">
        <v>52</v>
      </c>
      <c r="U6" s="725"/>
      <c r="V6" s="725" t="s">
        <v>53</v>
      </c>
      <c r="W6" s="725"/>
      <c r="X6" s="716"/>
      <c r="Y6" s="716"/>
      <c r="Z6" s="718"/>
      <c r="AA6" s="720"/>
      <c r="AB6" s="720"/>
      <c r="AC6" s="25"/>
      <c r="AD6" s="25"/>
    </row>
    <row r="7" spans="1:31" s="26" customFormat="1" ht="111" hidden="1" customHeight="1" x14ac:dyDescent="0.2">
      <c r="A7" s="730"/>
      <c r="B7" s="721"/>
      <c r="C7" s="721"/>
      <c r="D7" s="721"/>
      <c r="E7" s="721"/>
      <c r="F7" s="721"/>
      <c r="G7" s="730"/>
      <c r="H7" s="27" t="s">
        <v>54</v>
      </c>
      <c r="I7" s="28" t="s">
        <v>55</v>
      </c>
      <c r="J7" s="27" t="s">
        <v>54</v>
      </c>
      <c r="K7" s="27" t="s">
        <v>56</v>
      </c>
      <c r="L7" s="27" t="s">
        <v>54</v>
      </c>
      <c r="M7" s="28" t="s">
        <v>55</v>
      </c>
      <c r="N7" s="301" t="s">
        <v>54</v>
      </c>
      <c r="O7" s="28" t="s">
        <v>55</v>
      </c>
      <c r="P7" s="27" t="s">
        <v>54</v>
      </c>
      <c r="Q7" s="28" t="s">
        <v>55</v>
      </c>
      <c r="R7" s="60" t="s">
        <v>54</v>
      </c>
      <c r="S7" s="61" t="s">
        <v>55</v>
      </c>
      <c r="T7" s="29" t="s">
        <v>57</v>
      </c>
      <c r="U7" s="28" t="s">
        <v>55</v>
      </c>
      <c r="V7" s="27" t="s">
        <v>54</v>
      </c>
      <c r="W7" s="30" t="s">
        <v>56</v>
      </c>
      <c r="X7" s="31" t="s">
        <v>58</v>
      </c>
      <c r="Y7" s="31" t="s">
        <v>59</v>
      </c>
      <c r="Z7" s="32" t="s">
        <v>60</v>
      </c>
      <c r="AA7" s="721"/>
      <c r="AB7" s="721"/>
      <c r="AC7" s="25"/>
      <c r="AD7" s="25"/>
    </row>
    <row r="8" spans="1:31" s="10" customFormat="1" x14ac:dyDescent="0.25">
      <c r="A8" s="33">
        <v>1</v>
      </c>
      <c r="B8" s="34">
        <v>2</v>
      </c>
      <c r="C8" s="33">
        <v>3</v>
      </c>
      <c r="D8" s="33" t="s">
        <v>30</v>
      </c>
      <c r="E8" s="33" t="s">
        <v>35</v>
      </c>
      <c r="F8" s="33">
        <v>4</v>
      </c>
      <c r="G8" s="35" t="s">
        <v>35</v>
      </c>
      <c r="H8" s="36"/>
      <c r="I8" s="37" t="s">
        <v>61</v>
      </c>
      <c r="J8" s="37"/>
      <c r="K8" s="37" t="s">
        <v>62</v>
      </c>
      <c r="L8" s="37"/>
      <c r="M8" s="37" t="s">
        <v>61</v>
      </c>
      <c r="N8" s="302"/>
      <c r="O8" s="37" t="s">
        <v>61</v>
      </c>
      <c r="P8" s="37"/>
      <c r="Q8" s="37" t="s">
        <v>61</v>
      </c>
      <c r="R8" s="62"/>
      <c r="S8" s="62" t="s">
        <v>61</v>
      </c>
      <c r="T8" s="62" t="s">
        <v>67</v>
      </c>
      <c r="U8" s="37" t="s">
        <v>61</v>
      </c>
      <c r="V8" s="37"/>
      <c r="W8" s="38" t="s">
        <v>62</v>
      </c>
      <c r="X8" s="39"/>
      <c r="Y8" s="39"/>
      <c r="Z8" s="37"/>
      <c r="AA8" s="33" t="s">
        <v>36</v>
      </c>
      <c r="AB8" s="33" t="s">
        <v>38</v>
      </c>
      <c r="AC8" s="40"/>
      <c r="AD8" s="40"/>
    </row>
    <row r="9" spans="1:31" s="9" customFormat="1" x14ac:dyDescent="0.25">
      <c r="A9" s="41"/>
      <c r="B9" s="42"/>
      <c r="C9" s="43"/>
      <c r="D9" s="43"/>
      <c r="E9" s="45"/>
      <c r="F9" s="43"/>
      <c r="G9" s="43"/>
      <c r="H9" s="43"/>
      <c r="I9" s="43"/>
      <c r="J9" s="43"/>
      <c r="K9" s="43"/>
      <c r="L9" s="43"/>
      <c r="M9" s="43"/>
      <c r="N9" s="44"/>
      <c r="O9" s="43"/>
      <c r="P9" s="43"/>
      <c r="Q9" s="43"/>
      <c r="R9" s="63"/>
      <c r="S9" s="63"/>
      <c r="T9" s="43"/>
      <c r="U9" s="43"/>
      <c r="V9" s="43"/>
      <c r="W9" s="43"/>
      <c r="X9" s="44"/>
      <c r="Y9" s="44"/>
      <c r="Z9" s="43"/>
      <c r="AA9" s="43"/>
      <c r="AB9" s="45"/>
    </row>
    <row r="10" spans="1:31" s="247" customFormat="1" ht="21.75" customHeight="1" x14ac:dyDescent="0.2">
      <c r="A10" s="281"/>
      <c r="B10" s="282" t="s">
        <v>265</v>
      </c>
      <c r="C10" s="283"/>
      <c r="D10" s="283"/>
      <c r="E10" s="287"/>
      <c r="F10" s="283"/>
      <c r="G10" s="283"/>
      <c r="H10" s="283"/>
      <c r="I10" s="283"/>
      <c r="J10" s="283"/>
      <c r="K10" s="283"/>
      <c r="L10" s="283"/>
      <c r="M10" s="283"/>
      <c r="N10" s="286"/>
      <c r="O10" s="283"/>
      <c r="P10" s="283"/>
      <c r="Q10" s="283"/>
      <c r="R10" s="284"/>
      <c r="S10" s="285"/>
      <c r="T10" s="283"/>
      <c r="U10" s="283"/>
      <c r="V10" s="283"/>
      <c r="W10" s="283"/>
      <c r="X10" s="286"/>
      <c r="Y10" s="286"/>
      <c r="Z10" s="283"/>
      <c r="AA10" s="283"/>
      <c r="AB10" s="287"/>
    </row>
    <row r="11" spans="1:31" x14ac:dyDescent="0.25">
      <c r="A11" s="46" t="s">
        <v>31</v>
      </c>
      <c r="B11" s="11" t="s">
        <v>161</v>
      </c>
      <c r="C11" s="47">
        <v>161.68</v>
      </c>
      <c r="D11" s="279">
        <f t="shared" ref="D11:D16" si="0">F11+G11+AA11</f>
        <v>2305.06</v>
      </c>
      <c r="E11" s="415">
        <f t="shared" ref="E11:E16" si="1">ROUND(D11/C11/60,4)</f>
        <v>0.23760000000000001</v>
      </c>
      <c r="F11" s="413">
        <f>477.5/250*253</f>
        <v>483.22999999999996</v>
      </c>
      <c r="G11" s="58">
        <f>I11+K11+M11+O11+Q11+U11+W11+Z11+S11</f>
        <v>1725.18</v>
      </c>
      <c r="H11" s="48">
        <v>0.3</v>
      </c>
      <c r="I11" s="47">
        <f t="shared" ref="I11:I16" si="2">ROUND(H11*$F11,2)</f>
        <v>144.97</v>
      </c>
      <c r="J11" s="48">
        <v>0.3</v>
      </c>
      <c r="K11" s="47">
        <f t="shared" ref="K11:K16" si="3">ROUND($K$3*J11,2)</f>
        <v>75.900000000000006</v>
      </c>
      <c r="L11" s="48">
        <v>0.3</v>
      </c>
      <c r="M11" s="47">
        <f t="shared" ref="M11:M16" si="4">ROUND(L11*$F11,2)</f>
        <v>144.97</v>
      </c>
      <c r="N11" s="300">
        <v>0.4</v>
      </c>
      <c r="O11" s="47">
        <f t="shared" ref="O11:O16" si="5">ROUND(N11*$F11,2)</f>
        <v>193.29</v>
      </c>
      <c r="P11" s="48">
        <v>0</v>
      </c>
      <c r="Q11" s="47">
        <f t="shared" ref="Q11:Q16" si="6">ROUND(P11*$F11,2)</f>
        <v>0</v>
      </c>
      <c r="R11" s="64">
        <v>1.4</v>
      </c>
      <c r="S11" s="67">
        <f t="shared" ref="S11:S16" si="7">ROUND(R11*$F11,2)</f>
        <v>676.52</v>
      </c>
      <c r="T11" s="168">
        <v>0.8</v>
      </c>
      <c r="U11" s="47">
        <f t="shared" ref="U11:U16" si="8">ROUND(T11*$F11,2)</f>
        <v>386.58</v>
      </c>
      <c r="V11" s="48">
        <v>0.2</v>
      </c>
      <c r="W11" s="47">
        <f t="shared" ref="W11:W16" si="9">ROUND($K$3*V11,2)</f>
        <v>50.6</v>
      </c>
      <c r="X11" s="49">
        <f t="shared" ref="X11:X16" si="10">ROUND($F11*1/12,2)</f>
        <v>40.270000000000003</v>
      </c>
      <c r="Y11" s="50">
        <f t="shared" ref="Y11:Y16" si="11">ROUND($F11*0.3/12,2)</f>
        <v>12.08</v>
      </c>
      <c r="Z11" s="51">
        <f t="shared" ref="Z11:Z16" si="12">X11+Y11</f>
        <v>52.35</v>
      </c>
      <c r="AA11" s="47">
        <f t="shared" ref="AA11:AA16" si="13">ROUND($F11*AA$5,2)</f>
        <v>96.65</v>
      </c>
      <c r="AB11" s="52">
        <f t="shared" ref="AB11:AB16" si="14">ROUND((F11+G11+AA11)/C11/60,4)</f>
        <v>0.23760000000000001</v>
      </c>
      <c r="AC11" s="8" t="s">
        <v>162</v>
      </c>
      <c r="AE11" s="1">
        <v>0.1119</v>
      </c>
    </row>
    <row r="12" spans="1:31" ht="17.25" customHeight="1" x14ac:dyDescent="0.25">
      <c r="A12" s="46" t="s">
        <v>31</v>
      </c>
      <c r="B12" s="11" t="s">
        <v>27</v>
      </c>
      <c r="C12" s="47">
        <v>161.68</v>
      </c>
      <c r="D12" s="279">
        <f t="shared" si="0"/>
        <v>2305.06</v>
      </c>
      <c r="E12" s="415">
        <f t="shared" si="1"/>
        <v>0.23760000000000001</v>
      </c>
      <c r="F12" s="413">
        <f t="shared" ref="F12:F14" si="15">477.5/250*253</f>
        <v>483.22999999999996</v>
      </c>
      <c r="G12" s="58">
        <f t="shared" ref="G12:G16" si="16">I12+K12+M12+O12+Q12+U12+W12+Z12+S12</f>
        <v>1725.18</v>
      </c>
      <c r="H12" s="48">
        <v>0.3</v>
      </c>
      <c r="I12" s="47">
        <f t="shared" si="2"/>
        <v>144.97</v>
      </c>
      <c r="J12" s="48">
        <v>0.3</v>
      </c>
      <c r="K12" s="47">
        <f t="shared" si="3"/>
        <v>75.900000000000006</v>
      </c>
      <c r="L12" s="48">
        <v>0.3</v>
      </c>
      <c r="M12" s="47">
        <f t="shared" si="4"/>
        <v>144.97</v>
      </c>
      <c r="N12" s="300">
        <v>0.4</v>
      </c>
      <c r="O12" s="47">
        <f t="shared" si="5"/>
        <v>193.29</v>
      </c>
      <c r="P12" s="48">
        <v>0</v>
      </c>
      <c r="Q12" s="47">
        <f t="shared" si="6"/>
        <v>0</v>
      </c>
      <c r="R12" s="66">
        <v>1.4</v>
      </c>
      <c r="S12" s="67">
        <f t="shared" si="7"/>
        <v>676.52</v>
      </c>
      <c r="T12" s="168">
        <v>0.8</v>
      </c>
      <c r="U12" s="47">
        <f t="shared" si="8"/>
        <v>386.58</v>
      </c>
      <c r="V12" s="48">
        <v>0.2</v>
      </c>
      <c r="W12" s="47">
        <f t="shared" si="9"/>
        <v>50.6</v>
      </c>
      <c r="X12" s="49">
        <f t="shared" si="10"/>
        <v>40.270000000000003</v>
      </c>
      <c r="Y12" s="50">
        <f t="shared" si="11"/>
        <v>12.08</v>
      </c>
      <c r="Z12" s="51">
        <f t="shared" si="12"/>
        <v>52.35</v>
      </c>
      <c r="AA12" s="47">
        <f t="shared" si="13"/>
        <v>96.65</v>
      </c>
      <c r="AB12" s="52">
        <f t="shared" si="14"/>
        <v>0.23760000000000001</v>
      </c>
      <c r="AC12" s="8" t="s">
        <v>160</v>
      </c>
    </row>
    <row r="13" spans="1:31" x14ac:dyDescent="0.25">
      <c r="A13" s="46" t="s">
        <v>31</v>
      </c>
      <c r="B13" s="11" t="s">
        <v>27</v>
      </c>
      <c r="C13" s="47">
        <v>161.68</v>
      </c>
      <c r="D13" s="279">
        <f t="shared" si="0"/>
        <v>2401.7099999999996</v>
      </c>
      <c r="E13" s="415">
        <f t="shared" si="1"/>
        <v>0.24759999999999999</v>
      </c>
      <c r="F13" s="413">
        <f t="shared" si="15"/>
        <v>483.22999999999996</v>
      </c>
      <c r="G13" s="58">
        <f t="shared" si="16"/>
        <v>1821.8299999999997</v>
      </c>
      <c r="H13" s="48">
        <v>0.5</v>
      </c>
      <c r="I13" s="47">
        <f t="shared" si="2"/>
        <v>241.62</v>
      </c>
      <c r="J13" s="48">
        <v>0.3</v>
      </c>
      <c r="K13" s="47">
        <f t="shared" si="3"/>
        <v>75.900000000000006</v>
      </c>
      <c r="L13" s="48">
        <v>0.3</v>
      </c>
      <c r="M13" s="47">
        <f t="shared" si="4"/>
        <v>144.97</v>
      </c>
      <c r="N13" s="300">
        <v>0.4</v>
      </c>
      <c r="O13" s="47">
        <f t="shared" si="5"/>
        <v>193.29</v>
      </c>
      <c r="P13" s="48">
        <v>0</v>
      </c>
      <c r="Q13" s="47">
        <f t="shared" si="6"/>
        <v>0</v>
      </c>
      <c r="R13" s="64">
        <v>1.4</v>
      </c>
      <c r="S13" s="67">
        <f t="shared" si="7"/>
        <v>676.52</v>
      </c>
      <c r="T13" s="168">
        <v>0.8</v>
      </c>
      <c r="U13" s="47">
        <f t="shared" si="8"/>
        <v>386.58</v>
      </c>
      <c r="V13" s="48">
        <v>0.2</v>
      </c>
      <c r="W13" s="47">
        <f t="shared" si="9"/>
        <v>50.6</v>
      </c>
      <c r="X13" s="49">
        <f t="shared" si="10"/>
        <v>40.270000000000003</v>
      </c>
      <c r="Y13" s="50">
        <f t="shared" si="11"/>
        <v>12.08</v>
      </c>
      <c r="Z13" s="51">
        <f t="shared" si="12"/>
        <v>52.35</v>
      </c>
      <c r="AA13" s="47">
        <f t="shared" si="13"/>
        <v>96.65</v>
      </c>
      <c r="AB13" s="52">
        <f t="shared" si="14"/>
        <v>0.24759999999999999</v>
      </c>
      <c r="AC13" s="8" t="s">
        <v>159</v>
      </c>
    </row>
    <row r="14" spans="1:31" x14ac:dyDescent="0.25">
      <c r="A14" s="46" t="s">
        <v>31</v>
      </c>
      <c r="B14" s="11" t="s">
        <v>40</v>
      </c>
      <c r="C14" s="47">
        <v>161.68</v>
      </c>
      <c r="D14" s="279">
        <f t="shared" si="0"/>
        <v>2305.06</v>
      </c>
      <c r="E14" s="415">
        <f t="shared" si="1"/>
        <v>0.23760000000000001</v>
      </c>
      <c r="F14" s="413">
        <f t="shared" si="15"/>
        <v>483.22999999999996</v>
      </c>
      <c r="G14" s="58">
        <f t="shared" si="16"/>
        <v>1725.18</v>
      </c>
      <c r="H14" s="48">
        <v>0.3</v>
      </c>
      <c r="I14" s="47">
        <f t="shared" si="2"/>
        <v>144.97</v>
      </c>
      <c r="J14" s="48">
        <v>0.3</v>
      </c>
      <c r="K14" s="47">
        <f t="shared" si="3"/>
        <v>75.900000000000006</v>
      </c>
      <c r="L14" s="48">
        <v>0.3</v>
      </c>
      <c r="M14" s="47">
        <f t="shared" si="4"/>
        <v>144.97</v>
      </c>
      <c r="N14" s="300">
        <v>0.4</v>
      </c>
      <c r="O14" s="47">
        <f t="shared" si="5"/>
        <v>193.29</v>
      </c>
      <c r="P14" s="48">
        <v>0</v>
      </c>
      <c r="Q14" s="47">
        <f t="shared" si="6"/>
        <v>0</v>
      </c>
      <c r="R14" s="64">
        <v>1.4</v>
      </c>
      <c r="S14" s="67">
        <f t="shared" si="7"/>
        <v>676.52</v>
      </c>
      <c r="T14" s="168">
        <v>0.8</v>
      </c>
      <c r="U14" s="47">
        <f t="shared" si="8"/>
        <v>386.58</v>
      </c>
      <c r="V14" s="48">
        <v>0.2</v>
      </c>
      <c r="W14" s="47">
        <f t="shared" si="9"/>
        <v>50.6</v>
      </c>
      <c r="X14" s="49">
        <f t="shared" si="10"/>
        <v>40.270000000000003</v>
      </c>
      <c r="Y14" s="50">
        <f t="shared" si="11"/>
        <v>12.08</v>
      </c>
      <c r="Z14" s="51">
        <f t="shared" si="12"/>
        <v>52.35</v>
      </c>
      <c r="AA14" s="47">
        <f t="shared" si="13"/>
        <v>96.65</v>
      </c>
      <c r="AB14" s="52">
        <f t="shared" si="14"/>
        <v>0.23760000000000001</v>
      </c>
      <c r="AC14" s="8" t="s">
        <v>63</v>
      </c>
      <c r="AE14" s="1">
        <v>0.1119</v>
      </c>
    </row>
    <row r="15" spans="1:31" ht="23.25" customHeight="1" x14ac:dyDescent="0.25">
      <c r="A15" s="46" t="s">
        <v>31</v>
      </c>
      <c r="B15" s="11" t="s">
        <v>262</v>
      </c>
      <c r="C15" s="47">
        <v>161.68</v>
      </c>
      <c r="D15" s="279">
        <f t="shared" si="0"/>
        <v>2148.2000000000003</v>
      </c>
      <c r="E15" s="415">
        <f t="shared" si="1"/>
        <v>0.22140000000000001</v>
      </c>
      <c r="F15" s="413">
        <f>447.5/250*253</f>
        <v>452.87</v>
      </c>
      <c r="G15" s="58">
        <f t="shared" si="16"/>
        <v>1604.76</v>
      </c>
      <c r="H15" s="48">
        <v>0.3</v>
      </c>
      <c r="I15" s="47">
        <f t="shared" si="2"/>
        <v>135.86000000000001</v>
      </c>
      <c r="J15" s="48">
        <v>0.3</v>
      </c>
      <c r="K15" s="47">
        <f t="shared" si="3"/>
        <v>75.900000000000006</v>
      </c>
      <c r="L15" s="48">
        <v>0.2</v>
      </c>
      <c r="M15" s="47">
        <f t="shared" si="4"/>
        <v>90.57</v>
      </c>
      <c r="N15" s="300">
        <v>0.4</v>
      </c>
      <c r="O15" s="47">
        <f t="shared" si="5"/>
        <v>181.15</v>
      </c>
      <c r="P15" s="48">
        <v>0</v>
      </c>
      <c r="Q15" s="47">
        <f t="shared" si="6"/>
        <v>0</v>
      </c>
      <c r="R15" s="64">
        <v>1.4</v>
      </c>
      <c r="S15" s="67">
        <f t="shared" si="7"/>
        <v>634.02</v>
      </c>
      <c r="T15" s="168">
        <v>0.8</v>
      </c>
      <c r="U15" s="47">
        <f t="shared" si="8"/>
        <v>362.3</v>
      </c>
      <c r="V15" s="48">
        <v>0.3</v>
      </c>
      <c r="W15" s="47">
        <f t="shared" si="9"/>
        <v>75.900000000000006</v>
      </c>
      <c r="X15" s="49">
        <f t="shared" si="10"/>
        <v>37.74</v>
      </c>
      <c r="Y15" s="50">
        <f t="shared" si="11"/>
        <v>11.32</v>
      </c>
      <c r="Z15" s="51">
        <f t="shared" si="12"/>
        <v>49.06</v>
      </c>
      <c r="AA15" s="47">
        <f t="shared" si="13"/>
        <v>90.57</v>
      </c>
      <c r="AB15" s="52">
        <f t="shared" si="14"/>
        <v>0.22140000000000001</v>
      </c>
      <c r="AC15" s="8" t="s">
        <v>406</v>
      </c>
      <c r="AE15" s="1">
        <v>0.1119</v>
      </c>
    </row>
    <row r="16" spans="1:31" ht="23.25" customHeight="1" x14ac:dyDescent="0.25">
      <c r="A16" s="46" t="s">
        <v>31</v>
      </c>
      <c r="B16" s="11" t="s">
        <v>263</v>
      </c>
      <c r="C16" s="47">
        <v>161.68</v>
      </c>
      <c r="D16" s="279">
        <f t="shared" si="0"/>
        <v>2122.9</v>
      </c>
      <c r="E16" s="415">
        <f t="shared" si="1"/>
        <v>0.21879999999999999</v>
      </c>
      <c r="F16" s="413">
        <f>447.5/250*253</f>
        <v>452.87</v>
      </c>
      <c r="G16" s="58">
        <f t="shared" si="16"/>
        <v>1579.46</v>
      </c>
      <c r="H16" s="48">
        <v>0.3</v>
      </c>
      <c r="I16" s="47">
        <f t="shared" si="2"/>
        <v>135.86000000000001</v>
      </c>
      <c r="J16" s="48">
        <v>0.3</v>
      </c>
      <c r="K16" s="47">
        <f t="shared" si="3"/>
        <v>75.900000000000006</v>
      </c>
      <c r="L16" s="48">
        <v>0.2</v>
      </c>
      <c r="M16" s="47">
        <f t="shared" si="4"/>
        <v>90.57</v>
      </c>
      <c r="N16" s="300">
        <v>0.4</v>
      </c>
      <c r="O16" s="47">
        <f t="shared" si="5"/>
        <v>181.15</v>
      </c>
      <c r="P16" s="48">
        <v>0</v>
      </c>
      <c r="Q16" s="47">
        <f t="shared" si="6"/>
        <v>0</v>
      </c>
      <c r="R16" s="64">
        <v>1.4</v>
      </c>
      <c r="S16" s="67">
        <f t="shared" si="7"/>
        <v>634.02</v>
      </c>
      <c r="T16" s="168">
        <v>0.8</v>
      </c>
      <c r="U16" s="47">
        <f t="shared" si="8"/>
        <v>362.3</v>
      </c>
      <c r="V16" s="48">
        <v>0.2</v>
      </c>
      <c r="W16" s="47">
        <f t="shared" si="9"/>
        <v>50.6</v>
      </c>
      <c r="X16" s="49">
        <f t="shared" si="10"/>
        <v>37.74</v>
      </c>
      <c r="Y16" s="50">
        <f t="shared" si="11"/>
        <v>11.32</v>
      </c>
      <c r="Z16" s="51">
        <f t="shared" si="12"/>
        <v>49.06</v>
      </c>
      <c r="AA16" s="47">
        <f t="shared" si="13"/>
        <v>90.57</v>
      </c>
      <c r="AB16" s="52">
        <f t="shared" si="14"/>
        <v>0.21879999999999999</v>
      </c>
      <c r="AC16" s="8" t="s">
        <v>264</v>
      </c>
      <c r="AE16" s="1">
        <v>0.1119</v>
      </c>
    </row>
    <row r="17" spans="1:31" x14ac:dyDescent="0.25">
      <c r="A17" s="46"/>
      <c r="B17" s="280" t="s">
        <v>266</v>
      </c>
      <c r="C17" s="47"/>
      <c r="D17" s="279"/>
      <c r="E17" s="415"/>
      <c r="F17" s="413"/>
      <c r="G17" s="58"/>
      <c r="H17" s="48"/>
      <c r="I17" s="47"/>
      <c r="J17" s="48"/>
      <c r="K17" s="47"/>
      <c r="L17" s="48"/>
      <c r="M17" s="47"/>
      <c r="N17" s="300"/>
      <c r="O17" s="47"/>
      <c r="P17" s="48"/>
      <c r="Q17" s="47"/>
      <c r="R17" s="64"/>
      <c r="S17" s="67"/>
      <c r="T17" s="67"/>
      <c r="U17" s="47"/>
      <c r="V17" s="48"/>
      <c r="W17" s="47"/>
      <c r="X17" s="49"/>
      <c r="Y17" s="50"/>
      <c r="Z17" s="51"/>
      <c r="AA17" s="47"/>
      <c r="AB17" s="52"/>
    </row>
    <row r="18" spans="1:31" ht="23.25" customHeight="1" x14ac:dyDescent="0.25">
      <c r="A18" s="46" t="s">
        <v>31</v>
      </c>
      <c r="B18" s="11" t="s">
        <v>215</v>
      </c>
      <c r="C18" s="47">
        <v>161.68</v>
      </c>
      <c r="D18" s="279">
        <f>F18+G18+AA18</f>
        <v>1941.7500000000002</v>
      </c>
      <c r="E18" s="415">
        <f>ROUND(D18/C18/60,4)</f>
        <v>0.20019999999999999</v>
      </c>
      <c r="F18" s="413">
        <f t="shared" ref="F18:F19" si="17">447.5/250*253</f>
        <v>452.87</v>
      </c>
      <c r="G18" s="58">
        <f>I18+K18+M18+O18+Q18+U18+W18+Z18+S18</f>
        <v>1398.3100000000002</v>
      </c>
      <c r="H18" s="48">
        <v>0.3</v>
      </c>
      <c r="I18" s="47">
        <f>ROUND(H18*$F18,2)</f>
        <v>135.86000000000001</v>
      </c>
      <c r="J18" s="48">
        <v>0.3</v>
      </c>
      <c r="K18" s="47">
        <f>ROUND($K$3*J18,2)</f>
        <v>75.900000000000006</v>
      </c>
      <c r="L18" s="48">
        <v>0.2</v>
      </c>
      <c r="M18" s="47">
        <f>ROUND(L18*$F18,2)</f>
        <v>90.57</v>
      </c>
      <c r="N18" s="300"/>
      <c r="O18" s="47">
        <f>ROUND(N18*$F18,2)</f>
        <v>0</v>
      </c>
      <c r="P18" s="48">
        <v>0</v>
      </c>
      <c r="Q18" s="47">
        <f>ROUND(P18*$F18,2)</f>
        <v>0</v>
      </c>
      <c r="R18" s="64">
        <v>1.4</v>
      </c>
      <c r="S18" s="67">
        <f>ROUND(R18*$F18,2)</f>
        <v>634.02</v>
      </c>
      <c r="T18" s="168">
        <v>0.8</v>
      </c>
      <c r="U18" s="47">
        <f>ROUND(T18*$F18,2)</f>
        <v>362.3</v>
      </c>
      <c r="V18" s="48">
        <v>0.2</v>
      </c>
      <c r="W18" s="47">
        <f>ROUND($K$3*V18,2)</f>
        <v>50.6</v>
      </c>
      <c r="X18" s="49">
        <f>ROUND($F18*1/12,2)</f>
        <v>37.74</v>
      </c>
      <c r="Y18" s="50">
        <f>ROUND($F18*0.3/12,2)</f>
        <v>11.32</v>
      </c>
      <c r="Z18" s="51">
        <f>X18+Y18</f>
        <v>49.06</v>
      </c>
      <c r="AA18" s="47">
        <f>ROUND($F18*AA$5,2)</f>
        <v>90.57</v>
      </c>
      <c r="AB18" s="52">
        <f>ROUND((F18+G18+AA18)/C18/60,4)</f>
        <v>0.20019999999999999</v>
      </c>
      <c r="AC18" s="8" t="s">
        <v>267</v>
      </c>
    </row>
    <row r="19" spans="1:31" ht="23.25" customHeight="1" x14ac:dyDescent="0.25">
      <c r="A19" s="46" t="s">
        <v>31</v>
      </c>
      <c r="B19" s="11" t="s">
        <v>217</v>
      </c>
      <c r="C19" s="47">
        <v>161.68</v>
      </c>
      <c r="D19" s="279">
        <f>F19+G19+AA19</f>
        <v>1936.4399999999998</v>
      </c>
      <c r="E19" s="415">
        <f>ROUND(D19/C19/60,4)</f>
        <v>0.1996</v>
      </c>
      <c r="F19" s="413">
        <f t="shared" si="17"/>
        <v>452.87</v>
      </c>
      <c r="G19" s="58">
        <f>I19+K19+M19+O19+Q19+U19+W19+Z19+S19</f>
        <v>1393</v>
      </c>
      <c r="H19" s="48">
        <v>0.3</v>
      </c>
      <c r="I19" s="47">
        <f>ROUND(H19*$F19,2)</f>
        <v>135.86000000000001</v>
      </c>
      <c r="J19" s="48">
        <v>0.3</v>
      </c>
      <c r="K19" s="47">
        <f>ROUND($K$3*J19,2)</f>
        <v>75.900000000000006</v>
      </c>
      <c r="L19" s="48">
        <v>0.3</v>
      </c>
      <c r="M19" s="47">
        <f>ROUND(L19*$F19,2)</f>
        <v>135.86000000000001</v>
      </c>
      <c r="N19" s="300"/>
      <c r="O19" s="47">
        <f>ROUND(N19*$F19,2)</f>
        <v>0</v>
      </c>
      <c r="P19" s="48">
        <v>0</v>
      </c>
      <c r="Q19" s="47">
        <f>ROUND(P19*$F19,2)</f>
        <v>0</v>
      </c>
      <c r="R19" s="64">
        <v>1.4</v>
      </c>
      <c r="S19" s="67">
        <f>ROUND(R19*$F19,2)</f>
        <v>634.02</v>
      </c>
      <c r="T19" s="168">
        <v>0.8</v>
      </c>
      <c r="U19" s="47">
        <f>ROUND(T19*$F19,2)</f>
        <v>362.3</v>
      </c>
      <c r="V19" s="48"/>
      <c r="W19" s="47">
        <f>ROUND($K$3*V19,2)</f>
        <v>0</v>
      </c>
      <c r="X19" s="49">
        <f>ROUND($F19*1/12,2)</f>
        <v>37.74</v>
      </c>
      <c r="Y19" s="50">
        <f>ROUND($F19*0.3/12,2)</f>
        <v>11.32</v>
      </c>
      <c r="Z19" s="51">
        <f>X19+Y19</f>
        <v>49.06</v>
      </c>
      <c r="AA19" s="47">
        <f>ROUND($F19*AA$5,2)</f>
        <v>90.57</v>
      </c>
      <c r="AB19" s="52">
        <f>ROUND((F19+G19+AA19)/C19/60,4)</f>
        <v>0.1996</v>
      </c>
      <c r="AC19" s="8" t="s">
        <v>268</v>
      </c>
    </row>
    <row r="20" spans="1:31" ht="23.25" customHeight="1" x14ac:dyDescent="0.25">
      <c r="A20" s="46" t="s">
        <v>31</v>
      </c>
      <c r="B20" s="11" t="s">
        <v>219</v>
      </c>
      <c r="C20" s="47">
        <v>161.68</v>
      </c>
      <c r="D20" s="279">
        <f>F20+G20+AA20</f>
        <v>2109.4900000000002</v>
      </c>
      <c r="E20" s="415">
        <f>ROUND(D20/C20/60,4)</f>
        <v>0.2175</v>
      </c>
      <c r="F20" s="413">
        <f t="shared" ref="F20" si="18">477.5/250*253</f>
        <v>483.22999999999996</v>
      </c>
      <c r="G20" s="58">
        <f>I20+K20+M20+O20+Q20+U20+W20+Z20+S20</f>
        <v>1529.6100000000001</v>
      </c>
      <c r="H20" s="48">
        <v>0.4</v>
      </c>
      <c r="I20" s="47">
        <f>ROUND(H20*$F20,2)</f>
        <v>193.29</v>
      </c>
      <c r="J20" s="48">
        <v>0.3</v>
      </c>
      <c r="K20" s="47">
        <f>ROUND($K$3*J20,2)</f>
        <v>75.900000000000006</v>
      </c>
      <c r="L20" s="48">
        <v>0.3</v>
      </c>
      <c r="M20" s="47">
        <f>ROUND(L20*$F20,2)</f>
        <v>144.97</v>
      </c>
      <c r="N20" s="300"/>
      <c r="O20" s="47">
        <f>ROUND(N20*$F20,2)</f>
        <v>0</v>
      </c>
      <c r="P20" s="48">
        <v>0</v>
      </c>
      <c r="Q20" s="47">
        <f>ROUND(P20*$F20,2)</f>
        <v>0</v>
      </c>
      <c r="R20" s="64">
        <v>1.4</v>
      </c>
      <c r="S20" s="67">
        <f>ROUND(R20*$F20,2)</f>
        <v>676.52</v>
      </c>
      <c r="T20" s="168">
        <v>0.8</v>
      </c>
      <c r="U20" s="47">
        <f>ROUND(T20*$F20,2)</f>
        <v>386.58</v>
      </c>
      <c r="V20" s="48"/>
      <c r="W20" s="47">
        <f>ROUND($K$3*V20,2)</f>
        <v>0</v>
      </c>
      <c r="X20" s="49">
        <f>ROUND($F20*1/12,2)</f>
        <v>40.270000000000003</v>
      </c>
      <c r="Y20" s="50">
        <f>ROUND($F20*0.3/12,2)</f>
        <v>12.08</v>
      </c>
      <c r="Z20" s="51">
        <f>X20+Y20</f>
        <v>52.35</v>
      </c>
      <c r="AA20" s="47">
        <f>ROUND($F20*AA$5,2)</f>
        <v>96.65</v>
      </c>
      <c r="AB20" s="52">
        <f>ROUND((F20+G20+AA20)/C20/60,4)</f>
        <v>0.2175</v>
      </c>
      <c r="AC20" s="8" t="s">
        <v>269</v>
      </c>
    </row>
    <row r="21" spans="1:31" ht="23.25" customHeight="1" x14ac:dyDescent="0.25">
      <c r="A21" s="46" t="s">
        <v>31</v>
      </c>
      <c r="B21" s="11" t="s">
        <v>221</v>
      </c>
      <c r="C21" s="47">
        <v>161.68</v>
      </c>
      <c r="D21" s="279">
        <f>F21+G21+AA21</f>
        <v>2109.4900000000002</v>
      </c>
      <c r="E21" s="415">
        <f>ROUND(D21/C21/60,4)</f>
        <v>0.2175</v>
      </c>
      <c r="F21" s="413">
        <v>483.23</v>
      </c>
      <c r="G21" s="58">
        <f>I21+K21+M21+O21+Q21+U21+W21+Z21+S21</f>
        <v>1529.6100000000001</v>
      </c>
      <c r="H21" s="48">
        <v>0.4</v>
      </c>
      <c r="I21" s="47">
        <f>ROUND(H21*$F21,2)</f>
        <v>193.29</v>
      </c>
      <c r="J21" s="48">
        <v>0.3</v>
      </c>
      <c r="K21" s="47">
        <f>ROUND($K$3*J21,2)</f>
        <v>75.900000000000006</v>
      </c>
      <c r="L21" s="48">
        <v>0.3</v>
      </c>
      <c r="M21" s="47">
        <f>ROUND(L21*$F21,2)</f>
        <v>144.97</v>
      </c>
      <c r="N21" s="300"/>
      <c r="O21" s="47">
        <f>ROUND(N21*$F21,2)</f>
        <v>0</v>
      </c>
      <c r="P21" s="48">
        <v>0</v>
      </c>
      <c r="Q21" s="47">
        <f>ROUND(P21*$F21,2)</f>
        <v>0</v>
      </c>
      <c r="R21" s="64">
        <v>1.4</v>
      </c>
      <c r="S21" s="67">
        <f>ROUND(R21*$F21,2)</f>
        <v>676.52</v>
      </c>
      <c r="T21" s="168">
        <v>0.8</v>
      </c>
      <c r="U21" s="47">
        <f>ROUND(T21*$F21,2)</f>
        <v>386.58</v>
      </c>
      <c r="V21" s="48"/>
      <c r="W21" s="47">
        <f>ROUND($K$3*V21,2)</f>
        <v>0</v>
      </c>
      <c r="X21" s="49">
        <f>ROUND($F21*1/12,2)</f>
        <v>40.270000000000003</v>
      </c>
      <c r="Y21" s="50">
        <f>ROUND($F21*0.3/12,2)</f>
        <v>12.08</v>
      </c>
      <c r="Z21" s="51">
        <f>X21+Y21</f>
        <v>52.35</v>
      </c>
      <c r="AA21" s="47">
        <f>ROUND($F21*AA$5,2)</f>
        <v>96.65</v>
      </c>
      <c r="AB21" s="52">
        <f>ROUND((F21+G21+AA21)/C21/60,4)</f>
        <v>0.2175</v>
      </c>
      <c r="AC21" s="8" t="s">
        <v>270</v>
      </c>
    </row>
    <row r="22" spans="1:31" ht="23.25" customHeight="1" x14ac:dyDescent="0.25">
      <c r="A22" s="46"/>
      <c r="B22" s="11" t="s">
        <v>404</v>
      </c>
      <c r="C22" s="47">
        <v>161.68</v>
      </c>
      <c r="D22" s="279">
        <f>F22+G22+AA22</f>
        <v>2109.4900000000002</v>
      </c>
      <c r="E22" s="415">
        <f>ROUND(D22/C22/60,4)</f>
        <v>0.2175</v>
      </c>
      <c r="F22" s="413">
        <v>483.23</v>
      </c>
      <c r="G22" s="58">
        <f>I22+K22+M22+O22+Q22+U22+W22+Z22+S22</f>
        <v>1529.6100000000001</v>
      </c>
      <c r="H22" s="48">
        <v>0.4</v>
      </c>
      <c r="I22" s="47">
        <f>ROUND(H22*$F22,2)</f>
        <v>193.29</v>
      </c>
      <c r="J22" s="48">
        <v>0.3</v>
      </c>
      <c r="K22" s="47">
        <f>ROUND($K$3*J22,2)</f>
        <v>75.900000000000006</v>
      </c>
      <c r="L22" s="48">
        <v>0.3</v>
      </c>
      <c r="M22" s="47">
        <f>ROUND(L22*$F22,2)</f>
        <v>144.97</v>
      </c>
      <c r="N22" s="300"/>
      <c r="O22" s="47"/>
      <c r="P22" s="48"/>
      <c r="Q22" s="47"/>
      <c r="R22" s="64">
        <v>1.4</v>
      </c>
      <c r="S22" s="67">
        <f>ROUND(R22*$F22,2)</f>
        <v>676.52</v>
      </c>
      <c r="T22" s="168">
        <v>0.8</v>
      </c>
      <c r="U22" s="47">
        <f>ROUND(T22*$F22,2)</f>
        <v>386.58</v>
      </c>
      <c r="V22" s="48"/>
      <c r="W22" s="47"/>
      <c r="X22" s="49">
        <f>ROUND($F22*1/12,2)</f>
        <v>40.270000000000003</v>
      </c>
      <c r="Y22" s="50">
        <f>ROUND($F22*0.3/12,2)</f>
        <v>12.08</v>
      </c>
      <c r="Z22" s="51">
        <f>X22+Y22</f>
        <v>52.35</v>
      </c>
      <c r="AA22" s="47">
        <f>ROUND($F22*AA$5,2)</f>
        <v>96.65</v>
      </c>
      <c r="AB22" s="52">
        <f>ROUND((F22+G22+AA22)/C22/60,4)</f>
        <v>0.2175</v>
      </c>
      <c r="AC22" s="8" t="s">
        <v>405</v>
      </c>
    </row>
    <row r="23" spans="1:31" x14ac:dyDescent="0.25">
      <c r="A23" s="46"/>
      <c r="B23" s="280" t="s">
        <v>271</v>
      </c>
      <c r="C23" s="47"/>
      <c r="D23" s="279"/>
      <c r="E23" s="415"/>
      <c r="F23" s="413"/>
      <c r="G23" s="58"/>
      <c r="H23" s="48"/>
      <c r="I23" s="47"/>
      <c r="J23" s="48"/>
      <c r="K23" s="47"/>
      <c r="L23" s="48"/>
      <c r="M23" s="47"/>
      <c r="N23" s="300"/>
      <c r="O23" s="47"/>
      <c r="P23" s="48"/>
      <c r="Q23" s="47"/>
      <c r="R23" s="64"/>
      <c r="S23" s="67"/>
      <c r="T23" s="67"/>
      <c r="U23" s="47"/>
      <c r="V23" s="48"/>
      <c r="W23" s="47"/>
      <c r="X23" s="49"/>
      <c r="Y23" s="50"/>
      <c r="Z23" s="51"/>
      <c r="AA23" s="47"/>
      <c r="AB23" s="52"/>
    </row>
    <row r="24" spans="1:31" ht="23.25" customHeight="1" x14ac:dyDescent="0.25">
      <c r="A24" s="46" t="s">
        <v>31</v>
      </c>
      <c r="B24" s="11" t="s">
        <v>272</v>
      </c>
      <c r="C24" s="47">
        <v>161.68</v>
      </c>
      <c r="D24" s="279">
        <f>F24+G24+AA24</f>
        <v>2454.58</v>
      </c>
      <c r="E24" s="415">
        <f>ROUND(D24/C24/60,4)</f>
        <v>0.253</v>
      </c>
      <c r="F24" s="413">
        <f t="shared" ref="F24:F27" si="19">477.5/250*253</f>
        <v>483.22999999999996</v>
      </c>
      <c r="G24" s="58">
        <f>I24+K24+M24+O24+Q24+U24+W24+Z24+S24</f>
        <v>1874.6999999999998</v>
      </c>
      <c r="H24" s="48">
        <v>0.4</v>
      </c>
      <c r="I24" s="47">
        <f>ROUND(H24*$F24,2)</f>
        <v>193.29</v>
      </c>
      <c r="J24" s="48">
        <v>0.3</v>
      </c>
      <c r="K24" s="47">
        <f>ROUND($K$3*J24,2)</f>
        <v>75.900000000000006</v>
      </c>
      <c r="L24" s="48">
        <v>0.3</v>
      </c>
      <c r="M24" s="47">
        <f>ROUND(L24*$F24,2)</f>
        <v>144.97</v>
      </c>
      <c r="N24" s="300">
        <v>0.4</v>
      </c>
      <c r="O24" s="47">
        <f>ROUND(N24*$F24,2)</f>
        <v>193.29</v>
      </c>
      <c r="P24" s="48">
        <v>0</v>
      </c>
      <c r="Q24" s="47">
        <f>ROUND(P24*$F24,2)</f>
        <v>0</v>
      </c>
      <c r="R24" s="64">
        <v>1.4</v>
      </c>
      <c r="S24" s="67">
        <f>ROUND(R24*$F24,2)</f>
        <v>676.52</v>
      </c>
      <c r="T24" s="168">
        <v>0.8</v>
      </c>
      <c r="U24" s="47">
        <f>ROUND(T24*$F24,2)</f>
        <v>386.58</v>
      </c>
      <c r="V24" s="48">
        <v>0.6</v>
      </c>
      <c r="W24" s="47">
        <f>ROUND($K$3*V24,2)</f>
        <v>151.80000000000001</v>
      </c>
      <c r="X24" s="49">
        <f>ROUND($F24*1/12,2)</f>
        <v>40.270000000000003</v>
      </c>
      <c r="Y24" s="50">
        <f>ROUND($F24*0.3/12,2)</f>
        <v>12.08</v>
      </c>
      <c r="Z24" s="51">
        <f>X24+Y24</f>
        <v>52.35</v>
      </c>
      <c r="AA24" s="47">
        <f>ROUND($F24*AA$5,2)</f>
        <v>96.65</v>
      </c>
      <c r="AB24" s="52">
        <f>ROUND((F24+G24+AA24)/C24/60,4)</f>
        <v>0.253</v>
      </c>
      <c r="AC24" s="8" t="s">
        <v>273</v>
      </c>
      <c r="AE24" s="1">
        <v>0.1119</v>
      </c>
    </row>
    <row r="25" spans="1:31" ht="17.25" customHeight="1" x14ac:dyDescent="0.25">
      <c r="A25" s="46" t="s">
        <v>31</v>
      </c>
      <c r="B25" s="11" t="s">
        <v>262</v>
      </c>
      <c r="C25" s="47">
        <v>161.68</v>
      </c>
      <c r="D25" s="279">
        <f>F25+G25+AA25</f>
        <v>2401.7099999999996</v>
      </c>
      <c r="E25" s="415">
        <f>ROUND(D25/C25/60,4)</f>
        <v>0.24759999999999999</v>
      </c>
      <c r="F25" s="413">
        <f t="shared" si="19"/>
        <v>483.22999999999996</v>
      </c>
      <c r="G25" s="58">
        <f>I25+K25+M25+O25+Q25+U25+W25+Z25+S25</f>
        <v>1821.8299999999997</v>
      </c>
      <c r="H25" s="48">
        <v>0.5</v>
      </c>
      <c r="I25" s="47">
        <f>ROUND(H25*$F25,2)</f>
        <v>241.62</v>
      </c>
      <c r="J25" s="48">
        <v>0.3</v>
      </c>
      <c r="K25" s="47">
        <f>ROUND($K$3*J25,2)</f>
        <v>75.900000000000006</v>
      </c>
      <c r="L25" s="48">
        <v>0.3</v>
      </c>
      <c r="M25" s="47">
        <f>ROUND(L25*$F25,2)</f>
        <v>144.97</v>
      </c>
      <c r="N25" s="300">
        <v>0.4</v>
      </c>
      <c r="O25" s="47">
        <f>ROUND(N25*$F25,2)</f>
        <v>193.29</v>
      </c>
      <c r="P25" s="48">
        <v>0</v>
      </c>
      <c r="Q25" s="47">
        <f>ROUND(P25*$F25,2)</f>
        <v>0</v>
      </c>
      <c r="R25" s="64">
        <v>1.4</v>
      </c>
      <c r="S25" s="67">
        <f>ROUND(R25*$F25,2)</f>
        <v>676.52</v>
      </c>
      <c r="T25" s="168">
        <v>0.8</v>
      </c>
      <c r="U25" s="47">
        <f>ROUND(T25*$F25,2)</f>
        <v>386.58</v>
      </c>
      <c r="V25" s="48">
        <v>0.2</v>
      </c>
      <c r="W25" s="47">
        <f>ROUND($K$3*V25,2)</f>
        <v>50.6</v>
      </c>
      <c r="X25" s="49">
        <f>ROUND($F25*1/12,2)</f>
        <v>40.270000000000003</v>
      </c>
      <c r="Y25" s="50">
        <f>ROUND($F25*0.3/12,2)</f>
        <v>12.08</v>
      </c>
      <c r="Z25" s="51">
        <f>X25+Y25</f>
        <v>52.35</v>
      </c>
      <c r="AA25" s="47">
        <f>ROUND($F25*AA$5,2)</f>
        <v>96.65</v>
      </c>
      <c r="AB25" s="52">
        <f>ROUND((F25+G25+AA25)/C25/60,4)</f>
        <v>0.24759999999999999</v>
      </c>
      <c r="AC25" s="8" t="s">
        <v>274</v>
      </c>
      <c r="AE25" s="1">
        <v>0.1119</v>
      </c>
    </row>
    <row r="26" spans="1:31" ht="23.25" customHeight="1" x14ac:dyDescent="0.25">
      <c r="A26" s="46" t="s">
        <v>31</v>
      </c>
      <c r="B26" s="11" t="s">
        <v>272</v>
      </c>
      <c r="C26" s="47">
        <v>161.68</v>
      </c>
      <c r="D26" s="279">
        <f>F26+G26+AA26</f>
        <v>2406.2599999999998</v>
      </c>
      <c r="E26" s="415">
        <f>ROUND(D26/C26/60,4)</f>
        <v>0.248</v>
      </c>
      <c r="F26" s="413">
        <f t="shared" si="19"/>
        <v>483.22999999999996</v>
      </c>
      <c r="G26" s="58">
        <f>I26+K26+M26+O26+Q26+U26+W26+Z26+S26</f>
        <v>1826.3799999999999</v>
      </c>
      <c r="H26" s="48">
        <v>0.3</v>
      </c>
      <c r="I26" s="47">
        <f>ROUND(H26*$F26,2)</f>
        <v>144.97</v>
      </c>
      <c r="J26" s="48">
        <v>0.3</v>
      </c>
      <c r="K26" s="47">
        <f>ROUND($K$3*J26,2)</f>
        <v>75.900000000000006</v>
      </c>
      <c r="L26" s="48">
        <v>0.3</v>
      </c>
      <c r="M26" s="47">
        <f>ROUND(L26*$F26,2)</f>
        <v>144.97</v>
      </c>
      <c r="N26" s="300">
        <v>0.4</v>
      </c>
      <c r="O26" s="47">
        <f>ROUND(N26*$F26,2)</f>
        <v>193.29</v>
      </c>
      <c r="P26" s="48">
        <v>0</v>
      </c>
      <c r="Q26" s="47">
        <f>ROUND(P26*$F26,2)</f>
        <v>0</v>
      </c>
      <c r="R26" s="64">
        <v>1.4</v>
      </c>
      <c r="S26" s="67">
        <f>ROUND(R26*$F26,2)</f>
        <v>676.52</v>
      </c>
      <c r="T26" s="168">
        <v>0.8</v>
      </c>
      <c r="U26" s="47">
        <f>ROUND(T26*$F26,2)</f>
        <v>386.58</v>
      </c>
      <c r="V26" s="48">
        <v>0.6</v>
      </c>
      <c r="W26" s="47">
        <f>ROUND($K$3*V26,2)</f>
        <v>151.80000000000001</v>
      </c>
      <c r="X26" s="49">
        <f>ROUND($F26*1/12,2)</f>
        <v>40.270000000000003</v>
      </c>
      <c r="Y26" s="50">
        <f>ROUND($F26*0.3/12,2)</f>
        <v>12.08</v>
      </c>
      <c r="Z26" s="51">
        <f>X26+Y26</f>
        <v>52.35</v>
      </c>
      <c r="AA26" s="47">
        <f>ROUND($F26*AA$5,2)</f>
        <v>96.65</v>
      </c>
      <c r="AB26" s="52">
        <f>ROUND((F26+G26+AA26)/C26/60,4)</f>
        <v>0.248</v>
      </c>
      <c r="AC26" s="8" t="s">
        <v>275</v>
      </c>
      <c r="AE26" s="1">
        <v>0.1119</v>
      </c>
    </row>
    <row r="27" spans="1:31" ht="18.75" customHeight="1" x14ac:dyDescent="0.25">
      <c r="A27" s="46" t="s">
        <v>31</v>
      </c>
      <c r="B27" s="11" t="s">
        <v>276</v>
      </c>
      <c r="C27" s="47">
        <v>161.68</v>
      </c>
      <c r="D27" s="279">
        <f>F27+G27+AA27</f>
        <v>2380.9699999999998</v>
      </c>
      <c r="E27" s="415">
        <f>ROUND(D27/C27/60,4)</f>
        <v>0.24540000000000001</v>
      </c>
      <c r="F27" s="413">
        <f t="shared" si="19"/>
        <v>483.22999999999996</v>
      </c>
      <c r="G27" s="58">
        <f>I27+K27+M27+O27+Q27+U27+W27+Z27+S27</f>
        <v>1801.09</v>
      </c>
      <c r="H27" s="48">
        <v>0.2</v>
      </c>
      <c r="I27" s="47">
        <f>ROUND(H27*$F27,2)</f>
        <v>96.65</v>
      </c>
      <c r="J27" s="48">
        <v>0.3</v>
      </c>
      <c r="K27" s="47">
        <f>ROUND($K$3*J27,2)</f>
        <v>75.900000000000006</v>
      </c>
      <c r="L27" s="48">
        <v>0.3</v>
      </c>
      <c r="M27" s="47">
        <f>ROUND(L27*$F27,2)</f>
        <v>144.97</v>
      </c>
      <c r="N27" s="300"/>
      <c r="O27" s="47">
        <f>ROUND(N27*$F27,2)</f>
        <v>0</v>
      </c>
      <c r="P27" s="48">
        <v>0.5</v>
      </c>
      <c r="Q27" s="47">
        <f>ROUND(P27*$F27,2)</f>
        <v>241.62</v>
      </c>
      <c r="R27" s="64">
        <v>1.4</v>
      </c>
      <c r="S27" s="67">
        <f>ROUND(R27*$F27,2)</f>
        <v>676.52</v>
      </c>
      <c r="T27" s="168">
        <v>0.8</v>
      </c>
      <c r="U27" s="47">
        <f>ROUND(T27*$F27,2)</f>
        <v>386.58</v>
      </c>
      <c r="V27" s="48">
        <v>0.5</v>
      </c>
      <c r="W27" s="47">
        <f>ROUND($K$3*V27,2)</f>
        <v>126.5</v>
      </c>
      <c r="X27" s="49">
        <f>ROUND($F27*1/12,2)</f>
        <v>40.270000000000003</v>
      </c>
      <c r="Y27" s="50">
        <f>ROUND($F27*0.3/12,2)</f>
        <v>12.08</v>
      </c>
      <c r="Z27" s="51">
        <f>X27+Y27</f>
        <v>52.35</v>
      </c>
      <c r="AA27" s="47">
        <f>ROUND($F27*AA$5,2)</f>
        <v>96.65</v>
      </c>
      <c r="AB27" s="52">
        <f>ROUND((F27+G27+AA27)/C27/60,4)</f>
        <v>0.24540000000000001</v>
      </c>
      <c r="AC27" s="8" t="s">
        <v>277</v>
      </c>
      <c r="AE27" s="1">
        <v>0.1119</v>
      </c>
    </row>
    <row r="28" spans="1:31" x14ac:dyDescent="0.25">
      <c r="A28" s="46"/>
      <c r="B28" s="722" t="s">
        <v>278</v>
      </c>
      <c r="C28" s="723"/>
      <c r="D28" s="723"/>
      <c r="E28" s="724"/>
      <c r="F28" s="413"/>
      <c r="G28" s="58"/>
      <c r="H28" s="48"/>
      <c r="I28" s="47"/>
      <c r="J28" s="48"/>
      <c r="K28" s="47"/>
      <c r="L28" s="48"/>
      <c r="M28" s="47"/>
      <c r="N28" s="300"/>
      <c r="O28" s="47"/>
      <c r="P28" s="48"/>
      <c r="Q28" s="47"/>
      <c r="R28" s="64"/>
      <c r="S28" s="67"/>
      <c r="T28" s="67"/>
      <c r="U28" s="47"/>
      <c r="V28" s="48"/>
      <c r="W28" s="47"/>
      <c r="X28" s="49"/>
      <c r="Y28" s="50"/>
      <c r="Z28" s="51"/>
      <c r="AA28" s="47"/>
      <c r="AB28" s="52"/>
    </row>
    <row r="29" spans="1:31" ht="18.75" customHeight="1" x14ac:dyDescent="0.25">
      <c r="A29" s="46" t="s">
        <v>31</v>
      </c>
      <c r="B29" s="11" t="s">
        <v>279</v>
      </c>
      <c r="C29" s="47">
        <v>161.68</v>
      </c>
      <c r="D29" s="279">
        <f>F29+G29+AA29</f>
        <v>2330.36</v>
      </c>
      <c r="E29" s="415">
        <f>ROUND(D29/C29/60,4)</f>
        <v>0.2402</v>
      </c>
      <c r="F29" s="413">
        <f t="shared" ref="F29" si="20">477.5/250*253</f>
        <v>483.22999999999996</v>
      </c>
      <c r="G29" s="58">
        <f>I29+K29+M29+O29+Q29+U29+W29+Z29+S29</f>
        <v>1750.48</v>
      </c>
      <c r="H29" s="48">
        <v>0.3</v>
      </c>
      <c r="I29" s="47">
        <f>ROUND(H29*$F29,2)</f>
        <v>144.97</v>
      </c>
      <c r="J29" s="48">
        <v>0.3</v>
      </c>
      <c r="K29" s="47">
        <f>ROUND($K$3*J29,2)</f>
        <v>75.900000000000006</v>
      </c>
      <c r="L29" s="48">
        <v>0.3</v>
      </c>
      <c r="M29" s="47">
        <f>ROUND(L29*$F29,2)</f>
        <v>144.97</v>
      </c>
      <c r="N29" s="300">
        <v>0.4</v>
      </c>
      <c r="O29" s="47">
        <f>ROUND(N29*$F29,2)</f>
        <v>193.29</v>
      </c>
      <c r="P29" s="48">
        <v>0</v>
      </c>
      <c r="Q29" s="47">
        <f>ROUND(P29*$F29,2)</f>
        <v>0</v>
      </c>
      <c r="R29" s="64">
        <v>1.4</v>
      </c>
      <c r="S29" s="67">
        <f>ROUND(R29*$F29,2)</f>
        <v>676.52</v>
      </c>
      <c r="T29" s="168">
        <v>0.8</v>
      </c>
      <c r="U29" s="47">
        <f>ROUND(T29*$F29,2)</f>
        <v>386.58</v>
      </c>
      <c r="V29" s="48">
        <v>0.3</v>
      </c>
      <c r="W29" s="47">
        <f>ROUND($K$3*V29,2)</f>
        <v>75.900000000000006</v>
      </c>
      <c r="X29" s="49">
        <f>ROUND($F29*1/12,2)</f>
        <v>40.270000000000003</v>
      </c>
      <c r="Y29" s="50">
        <f>ROUND($F29*0.3/12,2)</f>
        <v>12.08</v>
      </c>
      <c r="Z29" s="51">
        <f>X29+Y29</f>
        <v>52.35</v>
      </c>
      <c r="AA29" s="47">
        <f>ROUND($F29*AA$5,2)</f>
        <v>96.65</v>
      </c>
      <c r="AB29" s="52">
        <f>ROUND((F29+G29+AA29)/C29/60,4)</f>
        <v>0.2402</v>
      </c>
      <c r="AC29" s="8" t="s">
        <v>280</v>
      </c>
    </row>
    <row r="30" spans="1:31" ht="33" x14ac:dyDescent="0.25">
      <c r="A30" s="46"/>
      <c r="B30" s="280" t="s">
        <v>281</v>
      </c>
      <c r="C30" s="47"/>
      <c r="D30" s="279"/>
      <c r="E30" s="415"/>
      <c r="F30" s="413"/>
      <c r="G30" s="58"/>
      <c r="H30" s="48"/>
      <c r="I30" s="47"/>
      <c r="J30" s="48"/>
      <c r="K30" s="47"/>
      <c r="L30" s="48"/>
      <c r="M30" s="47"/>
      <c r="N30" s="300"/>
      <c r="O30" s="47"/>
      <c r="P30" s="48"/>
      <c r="Q30" s="47"/>
      <c r="R30" s="64"/>
      <c r="S30" s="67"/>
      <c r="T30" s="168">
        <v>0.8</v>
      </c>
      <c r="U30" s="47"/>
      <c r="V30" s="48"/>
      <c r="W30" s="47"/>
      <c r="X30" s="49"/>
      <c r="Y30" s="50"/>
      <c r="Z30" s="51"/>
      <c r="AA30" s="47"/>
      <c r="AB30" s="52"/>
    </row>
    <row r="31" spans="1:31" ht="23.25" customHeight="1" x14ac:dyDescent="0.25">
      <c r="A31" s="46" t="s">
        <v>31</v>
      </c>
      <c r="B31" s="11" t="s">
        <v>282</v>
      </c>
      <c r="C31" s="47">
        <v>161.68</v>
      </c>
      <c r="D31" s="279">
        <f>F31+G31+AA31</f>
        <v>2353.3799999999997</v>
      </c>
      <c r="E31" s="415">
        <f>ROUND(D31/C31/60,4)</f>
        <v>0.24260000000000001</v>
      </c>
      <c r="F31" s="413">
        <f t="shared" ref="F31" si="21">477.5/250*253</f>
        <v>483.22999999999996</v>
      </c>
      <c r="G31" s="58">
        <f>I31+K31+M31+O31+Q31+U31+W31+Z31+S31</f>
        <v>1773.4999999999998</v>
      </c>
      <c r="H31" s="48">
        <v>0.4</v>
      </c>
      <c r="I31" s="47">
        <f>ROUND(H31*$F31,2)</f>
        <v>193.29</v>
      </c>
      <c r="J31" s="48">
        <v>0.3</v>
      </c>
      <c r="K31" s="47">
        <f>ROUND($K$3*J31,2)</f>
        <v>75.900000000000006</v>
      </c>
      <c r="L31" s="48">
        <v>0.3</v>
      </c>
      <c r="M31" s="47">
        <f>ROUND(L31*$F31,2)</f>
        <v>144.97</v>
      </c>
      <c r="N31" s="300">
        <v>0.4</v>
      </c>
      <c r="O31" s="47">
        <f>ROUND(N31*$F31,2)</f>
        <v>193.29</v>
      </c>
      <c r="P31" s="48">
        <v>0</v>
      </c>
      <c r="Q31" s="47">
        <f>ROUND(P31*$F31,2)</f>
        <v>0</v>
      </c>
      <c r="R31" s="64">
        <v>1.4</v>
      </c>
      <c r="S31" s="67">
        <f>ROUND(R31*$F31,2)</f>
        <v>676.52</v>
      </c>
      <c r="T31" s="168">
        <v>0.8</v>
      </c>
      <c r="U31" s="47">
        <f>ROUND(T31*$F31,2)</f>
        <v>386.58</v>
      </c>
      <c r="V31" s="48">
        <v>0.2</v>
      </c>
      <c r="W31" s="47">
        <f>ROUND($K$3*V31,2)</f>
        <v>50.6</v>
      </c>
      <c r="X31" s="49">
        <f>ROUND($F31*1/12,2)</f>
        <v>40.270000000000003</v>
      </c>
      <c r="Y31" s="50">
        <f>ROUND($F31*0.3/12,2)</f>
        <v>12.08</v>
      </c>
      <c r="Z31" s="51">
        <f>X31+Y31</f>
        <v>52.35</v>
      </c>
      <c r="AA31" s="47">
        <f>ROUND($F31*AA$5,2)</f>
        <v>96.65</v>
      </c>
      <c r="AB31" s="52">
        <f>ROUND((F31+G31+AA31)/C31/60,4)</f>
        <v>0.24260000000000001</v>
      </c>
      <c r="AC31" s="8" t="s">
        <v>235</v>
      </c>
    </row>
    <row r="32" spans="1:31" s="299" customFormat="1" x14ac:dyDescent="0.25">
      <c r="A32" s="288"/>
      <c r="B32" s="722" t="s">
        <v>283</v>
      </c>
      <c r="C32" s="723"/>
      <c r="D32" s="723"/>
      <c r="E32" s="724"/>
      <c r="F32" s="414"/>
      <c r="G32" s="290"/>
      <c r="H32" s="291"/>
      <c r="I32" s="289"/>
      <c r="J32" s="291"/>
      <c r="K32" s="289"/>
      <c r="L32" s="291"/>
      <c r="M32" s="289"/>
      <c r="N32" s="303"/>
      <c r="O32" s="289"/>
      <c r="P32" s="291"/>
      <c r="Q32" s="289"/>
      <c r="R32" s="292"/>
      <c r="S32" s="293"/>
      <c r="T32" s="293"/>
      <c r="U32" s="289"/>
      <c r="V32" s="291"/>
      <c r="W32" s="289"/>
      <c r="X32" s="294"/>
      <c r="Y32" s="295"/>
      <c r="Z32" s="296"/>
      <c r="AA32" s="289"/>
      <c r="AB32" s="297"/>
      <c r="AC32" s="298"/>
      <c r="AD32" s="298"/>
    </row>
    <row r="33" spans="1:29" ht="25.5" customHeight="1" x14ac:dyDescent="0.25">
      <c r="A33" s="46" t="s">
        <v>31</v>
      </c>
      <c r="B33" s="14" t="s">
        <v>27</v>
      </c>
      <c r="C33" s="47">
        <v>161.68</v>
      </c>
      <c r="D33" s="279">
        <f>F33+G33+AA33</f>
        <v>2522.5299999999997</v>
      </c>
      <c r="E33" s="415">
        <f>ROUND(D33/C33/60,4)</f>
        <v>0.26</v>
      </c>
      <c r="F33" s="413">
        <f t="shared" ref="F33:F38" si="22">477.5/250*253</f>
        <v>483.22999999999996</v>
      </c>
      <c r="G33" s="58">
        <f>I33+K33+M33+O33+Q33+U33+W33+Z33+S33</f>
        <v>1942.6499999999996</v>
      </c>
      <c r="H33" s="48">
        <v>0.2</v>
      </c>
      <c r="I33" s="47">
        <f>ROUND(H33*$F33,2)</f>
        <v>96.65</v>
      </c>
      <c r="J33" s="48">
        <v>0.3</v>
      </c>
      <c r="K33" s="47">
        <f>ROUND($K$3*J33,2)</f>
        <v>75.900000000000006</v>
      </c>
      <c r="L33" s="48">
        <v>0.3</v>
      </c>
      <c r="M33" s="47">
        <f>ROUND(L33*$F33,2)</f>
        <v>144.97</v>
      </c>
      <c r="N33" s="300">
        <v>0.25</v>
      </c>
      <c r="O33" s="47">
        <f>ROUND(N33*$F33,2)</f>
        <v>120.81</v>
      </c>
      <c r="P33" s="48">
        <v>0.5</v>
      </c>
      <c r="Q33" s="47">
        <f>ROUND(P33*$F33,2)</f>
        <v>241.62</v>
      </c>
      <c r="R33" s="64">
        <f>140%+20%</f>
        <v>1.5999999999999999</v>
      </c>
      <c r="S33" s="67">
        <f>ROUND(R33*$F33,2)</f>
        <v>773.17</v>
      </c>
      <c r="T33" s="168">
        <v>0.8</v>
      </c>
      <c r="U33" s="47">
        <f>ROUND(T33*$F33,2)</f>
        <v>386.58</v>
      </c>
      <c r="V33" s="48">
        <v>0.2</v>
      </c>
      <c r="W33" s="47">
        <f>ROUND($K$3*V33,2)</f>
        <v>50.6</v>
      </c>
      <c r="X33" s="49">
        <f>ROUND($F33*1/12,2)</f>
        <v>40.270000000000003</v>
      </c>
      <c r="Y33" s="50">
        <f>ROUND($F33*0.3/12,2)</f>
        <v>12.08</v>
      </c>
      <c r="Z33" s="51">
        <f>X33+Y33</f>
        <v>52.35</v>
      </c>
      <c r="AA33" s="47">
        <f>ROUND($F33*AA$5,2)</f>
        <v>96.65</v>
      </c>
      <c r="AB33" s="52">
        <f>ROUND((F33+G33+AA33)/C33/60,4)</f>
        <v>0.26</v>
      </c>
      <c r="AC33" s="8" t="s">
        <v>284</v>
      </c>
    </row>
    <row r="34" spans="1:29" ht="33" x14ac:dyDescent="0.25">
      <c r="A34" s="46" t="s">
        <v>31</v>
      </c>
      <c r="B34" s="11" t="s">
        <v>238</v>
      </c>
      <c r="C34" s="58">
        <v>162.29</v>
      </c>
      <c r="D34" s="279">
        <f>F34+G34+AA34</f>
        <v>2788.29</v>
      </c>
      <c r="E34" s="415">
        <f>ROUND(D34/C34/60,4)</f>
        <v>0.2863</v>
      </c>
      <c r="F34" s="413">
        <f t="shared" si="22"/>
        <v>483.22999999999996</v>
      </c>
      <c r="G34" s="58">
        <f>I34+K34+M34+O34+Q34+U34+W34+Z34+S34</f>
        <v>2208.41</v>
      </c>
      <c r="H34" s="48">
        <v>0.15</v>
      </c>
      <c r="I34" s="47">
        <f>ROUND(H34*$F34,2)</f>
        <v>72.48</v>
      </c>
      <c r="J34" s="48">
        <v>0.3</v>
      </c>
      <c r="K34" s="47">
        <f>ROUND($K$3*J34,2)</f>
        <v>75.900000000000006</v>
      </c>
      <c r="L34" s="48">
        <v>0.3</v>
      </c>
      <c r="M34" s="47">
        <f>ROUND(L34*$F34,2)</f>
        <v>144.97</v>
      </c>
      <c r="N34" s="300">
        <v>0.4</v>
      </c>
      <c r="O34" s="47">
        <f>ROUND(N34*$F34,2)</f>
        <v>193.29</v>
      </c>
      <c r="P34" s="48"/>
      <c r="Q34" s="47">
        <f>ROUND(P34*$F34,2)</f>
        <v>0</v>
      </c>
      <c r="R34" s="64">
        <v>2.5499999999999998</v>
      </c>
      <c r="S34" s="67">
        <f>ROUND(R34*$F34,2)</f>
        <v>1232.24</v>
      </c>
      <c r="T34" s="168">
        <v>0.8</v>
      </c>
      <c r="U34" s="47">
        <f>ROUND(T34*$F34,2)</f>
        <v>386.58</v>
      </c>
      <c r="V34" s="48">
        <v>0.2</v>
      </c>
      <c r="W34" s="47">
        <f>ROUND($K$3*V34,2)</f>
        <v>50.6</v>
      </c>
      <c r="X34" s="49">
        <f>ROUND($F34*1/12,2)</f>
        <v>40.270000000000003</v>
      </c>
      <c r="Y34" s="50">
        <f>ROUND($F34*0.3/12,2)</f>
        <v>12.08</v>
      </c>
      <c r="Z34" s="51">
        <f>X34+Y34</f>
        <v>52.35</v>
      </c>
      <c r="AA34" s="47">
        <f>ROUND($F34*AA$5,2)</f>
        <v>96.65</v>
      </c>
      <c r="AB34" s="52">
        <f>ROUND((F34+G34+AA34)/C34/60,4)</f>
        <v>0.2863</v>
      </c>
      <c r="AC34" s="8" t="s">
        <v>285</v>
      </c>
    </row>
    <row r="35" spans="1:29" ht="23.25" customHeight="1" x14ac:dyDescent="0.25">
      <c r="A35" s="46" t="s">
        <v>31</v>
      </c>
      <c r="B35" s="280" t="s">
        <v>286</v>
      </c>
      <c r="C35" s="47"/>
      <c r="D35" s="279"/>
      <c r="E35" s="415"/>
      <c r="F35" s="413"/>
      <c r="G35" s="58"/>
      <c r="H35" s="48"/>
      <c r="I35" s="47"/>
      <c r="J35" s="48"/>
      <c r="K35" s="47"/>
      <c r="L35" s="48"/>
      <c r="M35" s="47"/>
      <c r="N35" s="300"/>
      <c r="O35" s="47"/>
      <c r="P35" s="48"/>
      <c r="Q35" s="47"/>
      <c r="R35" s="64"/>
      <c r="S35" s="67"/>
      <c r="T35" s="168">
        <v>0.8</v>
      </c>
      <c r="U35" s="47"/>
      <c r="V35" s="48"/>
      <c r="W35" s="47"/>
      <c r="X35" s="49"/>
      <c r="Y35" s="50"/>
      <c r="Z35" s="51"/>
      <c r="AA35" s="47"/>
      <c r="AB35" s="52"/>
    </row>
    <row r="36" spans="1:29" ht="23.25" customHeight="1" x14ac:dyDescent="0.25">
      <c r="A36" s="46" t="s">
        <v>31</v>
      </c>
      <c r="B36" s="11" t="s">
        <v>241</v>
      </c>
      <c r="C36" s="47">
        <v>161.68</v>
      </c>
      <c r="D36" s="279">
        <f>F36+G36+AA36</f>
        <v>2157.8200000000002</v>
      </c>
      <c r="E36" s="415">
        <f>ROUND(D36/C36/60,4)</f>
        <v>0.22239999999999999</v>
      </c>
      <c r="F36" s="413">
        <f t="shared" si="22"/>
        <v>483.22999999999996</v>
      </c>
      <c r="G36" s="58">
        <f>I36+K36+M36+O36+Q36+U36+W36+Z36+S36</f>
        <v>1577.94</v>
      </c>
      <c r="H36" s="48">
        <v>0.5</v>
      </c>
      <c r="I36" s="47">
        <f>ROUND(H36*$F36,2)</f>
        <v>241.62</v>
      </c>
      <c r="J36" s="48">
        <v>0.3</v>
      </c>
      <c r="K36" s="47">
        <f>ROUND($K$3*J36,2)</f>
        <v>75.900000000000006</v>
      </c>
      <c r="L36" s="48">
        <v>0.3</v>
      </c>
      <c r="M36" s="47">
        <f>ROUND(L36*$F36,2)</f>
        <v>144.97</v>
      </c>
      <c r="N36" s="300"/>
      <c r="O36" s="47">
        <f>ROUND(N36*$F36,2)</f>
        <v>0</v>
      </c>
      <c r="P36" s="48">
        <v>0</v>
      </c>
      <c r="Q36" s="47">
        <f>ROUND(P36*$F36,2)</f>
        <v>0</v>
      </c>
      <c r="R36" s="64">
        <v>1.4</v>
      </c>
      <c r="S36" s="67">
        <f>ROUND(R36*$F36,2)</f>
        <v>676.52</v>
      </c>
      <c r="T36" s="168">
        <v>0.8</v>
      </c>
      <c r="U36" s="47">
        <f>ROUND(T36*$F36,2)</f>
        <v>386.58</v>
      </c>
      <c r="V36" s="48"/>
      <c r="W36" s="47">
        <f>ROUND($K$3*V36,2)</f>
        <v>0</v>
      </c>
      <c r="X36" s="49">
        <f>ROUND($F36*1/12,2)</f>
        <v>40.270000000000003</v>
      </c>
      <c r="Y36" s="50">
        <f>ROUND($F36*0.3/12,2)</f>
        <v>12.08</v>
      </c>
      <c r="Z36" s="51">
        <f>X36+Y36</f>
        <v>52.35</v>
      </c>
      <c r="AA36" s="47">
        <f>ROUND($F36*AA$5,2)</f>
        <v>96.65</v>
      </c>
      <c r="AB36" s="52">
        <f>ROUND((F36+G36+AA36)/C36/60,4)</f>
        <v>0.22239999999999999</v>
      </c>
      <c r="AC36" s="8" t="s">
        <v>287</v>
      </c>
    </row>
    <row r="37" spans="1:29" ht="70.5" customHeight="1" x14ac:dyDescent="0.25">
      <c r="A37" s="46" t="s">
        <v>31</v>
      </c>
      <c r="B37" s="11" t="s">
        <v>411</v>
      </c>
      <c r="C37" s="47">
        <v>125.83</v>
      </c>
      <c r="D37" s="279">
        <f>F37+G37+AA37</f>
        <v>2233.7199999999998</v>
      </c>
      <c r="E37" s="415">
        <f>ROUND(D37/C37/60,4)</f>
        <v>0.2959</v>
      </c>
      <c r="F37" s="413">
        <f t="shared" si="22"/>
        <v>483.22999999999996</v>
      </c>
      <c r="G37" s="58">
        <f>I37+K37+M37+O37+Q37+U37+W37+Z37+S37</f>
        <v>1653.84</v>
      </c>
      <c r="H37" s="48">
        <v>0.5</v>
      </c>
      <c r="I37" s="47">
        <f>ROUND(H37*$F37,2)</f>
        <v>241.62</v>
      </c>
      <c r="J37" s="48">
        <v>0.3</v>
      </c>
      <c r="K37" s="47">
        <f>ROUND($K$3*J37,2)</f>
        <v>75.900000000000006</v>
      </c>
      <c r="L37" s="48">
        <v>0.3</v>
      </c>
      <c r="M37" s="47">
        <f>ROUND(L37*$F37,2)</f>
        <v>144.97</v>
      </c>
      <c r="N37" s="300"/>
      <c r="O37" s="47">
        <f>ROUND(N37*$F37,2)</f>
        <v>0</v>
      </c>
      <c r="P37" s="48">
        <v>0</v>
      </c>
      <c r="Q37" s="47">
        <f>ROUND(P37*$F37,2)</f>
        <v>0</v>
      </c>
      <c r="R37" s="64">
        <v>1.4</v>
      </c>
      <c r="S37" s="67">
        <f>ROUND(R37*$F37,2)</f>
        <v>676.52</v>
      </c>
      <c r="T37" s="168">
        <v>0.8</v>
      </c>
      <c r="U37" s="47">
        <f>ROUND(T37*$F37,2)</f>
        <v>386.58</v>
      </c>
      <c r="V37" s="48">
        <v>0.3</v>
      </c>
      <c r="W37" s="47">
        <f>ROUND($K$3*V37,2)</f>
        <v>75.900000000000006</v>
      </c>
      <c r="X37" s="49">
        <f>ROUND($F37*1/12,2)</f>
        <v>40.270000000000003</v>
      </c>
      <c r="Y37" s="50">
        <f>ROUND($F37*0.3/12,2)</f>
        <v>12.08</v>
      </c>
      <c r="Z37" s="51">
        <f>X37+Y37</f>
        <v>52.35</v>
      </c>
      <c r="AA37" s="47">
        <f>ROUND($F37*AA$5,2)</f>
        <v>96.65</v>
      </c>
      <c r="AB37" s="52">
        <f>ROUND((F37+G37+AA37)/C37/60,4)</f>
        <v>0.2959</v>
      </c>
      <c r="AC37" s="8" t="s">
        <v>288</v>
      </c>
    </row>
    <row r="38" spans="1:29" ht="35.25" customHeight="1" x14ac:dyDescent="0.25">
      <c r="A38" s="46" t="s">
        <v>31</v>
      </c>
      <c r="B38" s="11" t="s">
        <v>412</v>
      </c>
      <c r="C38" s="47">
        <v>125.83</v>
      </c>
      <c r="D38" s="279">
        <f>F38+G38+AA38</f>
        <v>2185.39</v>
      </c>
      <c r="E38" s="415">
        <f>ROUND(D38/C38/60,4)</f>
        <v>0.28949999999999998</v>
      </c>
      <c r="F38" s="413">
        <f t="shared" si="22"/>
        <v>483.22999999999996</v>
      </c>
      <c r="G38" s="58">
        <f>I38+K38+M38+O38+Q38+U38+W38+Z38+S38</f>
        <v>1605.51</v>
      </c>
      <c r="H38" s="48">
        <v>0.4</v>
      </c>
      <c r="I38" s="47">
        <f>ROUND(H38*$F38,2)</f>
        <v>193.29</v>
      </c>
      <c r="J38" s="48">
        <v>0.3</v>
      </c>
      <c r="K38" s="47">
        <f>ROUND($K$3*J38,2)</f>
        <v>75.900000000000006</v>
      </c>
      <c r="L38" s="48">
        <v>0.3</v>
      </c>
      <c r="M38" s="47">
        <f>ROUND(L38*$F38,2)</f>
        <v>144.97</v>
      </c>
      <c r="N38" s="300"/>
      <c r="O38" s="47">
        <f>ROUND(N38*$F38,2)</f>
        <v>0</v>
      </c>
      <c r="P38" s="48">
        <v>0</v>
      </c>
      <c r="Q38" s="47">
        <f>ROUND(P38*$F38,2)</f>
        <v>0</v>
      </c>
      <c r="R38" s="64">
        <v>1.4</v>
      </c>
      <c r="S38" s="67">
        <f>ROUND(R38*$F38,2)</f>
        <v>676.52</v>
      </c>
      <c r="T38" s="168">
        <v>0.8</v>
      </c>
      <c r="U38" s="47">
        <f>ROUND(T38*$F38,2)</f>
        <v>386.58</v>
      </c>
      <c r="V38" s="48">
        <v>0.3</v>
      </c>
      <c r="W38" s="47">
        <f>ROUND($K$3*V38,2)</f>
        <v>75.900000000000006</v>
      </c>
      <c r="X38" s="49">
        <f>ROUND($F38*1/12,2)</f>
        <v>40.270000000000003</v>
      </c>
      <c r="Y38" s="50">
        <f>ROUND($F38*0.3/12,2)</f>
        <v>12.08</v>
      </c>
      <c r="Z38" s="51">
        <f>X38+Y38</f>
        <v>52.35</v>
      </c>
      <c r="AA38" s="47">
        <f>ROUND($F38*AA$5,2)</f>
        <v>96.65</v>
      </c>
      <c r="AB38" s="52">
        <f>ROUND((F38+G38+AA38)/C38/60,4)</f>
        <v>0.28949999999999998</v>
      </c>
      <c r="AC38" s="8" t="s">
        <v>290</v>
      </c>
    </row>
    <row r="39" spans="1:29" ht="38.25" customHeight="1" x14ac:dyDescent="0.25">
      <c r="A39" s="46" t="s">
        <v>31</v>
      </c>
      <c r="B39" s="11" t="s">
        <v>289</v>
      </c>
      <c r="C39" s="47">
        <v>161.68</v>
      </c>
      <c r="D39" s="279">
        <f>F39+G39+AA39</f>
        <v>1936.4399999999998</v>
      </c>
      <c r="E39" s="415">
        <f>ROUND(D39/C39/60,4)</f>
        <v>0.1996</v>
      </c>
      <c r="F39" s="413">
        <f t="shared" ref="F39:F40" si="23">447.5/250*253</f>
        <v>452.87</v>
      </c>
      <c r="G39" s="58">
        <f>I39+K39+M39+O39+Q39+U39+W39+Z39+S39</f>
        <v>1393</v>
      </c>
      <c r="H39" s="48">
        <v>0.4</v>
      </c>
      <c r="I39" s="47">
        <f>ROUND(H39*$F39,2)</f>
        <v>181.15</v>
      </c>
      <c r="J39" s="48">
        <v>0.3</v>
      </c>
      <c r="K39" s="47">
        <f>ROUND($K$3*J39,2)</f>
        <v>75.900000000000006</v>
      </c>
      <c r="L39" s="48">
        <v>0.2</v>
      </c>
      <c r="M39" s="47">
        <f>ROUND(L39*$F39,2)</f>
        <v>90.57</v>
      </c>
      <c r="N39" s="300"/>
      <c r="O39" s="47">
        <f>ROUND(N39*$F39,2)</f>
        <v>0</v>
      </c>
      <c r="P39" s="48">
        <v>0</v>
      </c>
      <c r="Q39" s="47">
        <f>ROUND(P39*$F39,2)</f>
        <v>0</v>
      </c>
      <c r="R39" s="64">
        <v>1.4</v>
      </c>
      <c r="S39" s="67">
        <f>ROUND(R39*$F39,2)</f>
        <v>634.02</v>
      </c>
      <c r="T39" s="168">
        <v>0.8</v>
      </c>
      <c r="U39" s="47">
        <f>ROUND(T39*$F39,2)</f>
        <v>362.3</v>
      </c>
      <c r="V39" s="48"/>
      <c r="W39" s="47">
        <f>ROUND($K$3*V39,2)</f>
        <v>0</v>
      </c>
      <c r="X39" s="49">
        <f>ROUND($F39*1/12,2)</f>
        <v>37.74</v>
      </c>
      <c r="Y39" s="50">
        <f>ROUND($F39*0.3/12,2)</f>
        <v>11.32</v>
      </c>
      <c r="Z39" s="51">
        <f>X39+Y39</f>
        <v>49.06</v>
      </c>
      <c r="AA39" s="47">
        <f>ROUND($F39*AA$5,2)</f>
        <v>90.57</v>
      </c>
      <c r="AB39" s="52">
        <f>ROUND((F39+G39+AA39)/C39/60,4)</f>
        <v>0.1996</v>
      </c>
      <c r="AC39" s="8" t="s">
        <v>291</v>
      </c>
    </row>
    <row r="40" spans="1:29" ht="30.75" customHeight="1" x14ac:dyDescent="0.25">
      <c r="A40" s="46"/>
      <c r="B40" s="11" t="s">
        <v>292</v>
      </c>
      <c r="C40" s="47">
        <v>146.91999999999999</v>
      </c>
      <c r="D40" s="279">
        <f>F40+G40+AA40</f>
        <v>2213.4800000000005</v>
      </c>
      <c r="E40" s="415">
        <f>ROUND(D40/C40/60,4)</f>
        <v>0.25109999999999999</v>
      </c>
      <c r="F40" s="413">
        <f t="shared" si="23"/>
        <v>452.87</v>
      </c>
      <c r="G40" s="58">
        <f>I40+K40+M40+O40+Q40+U40+W40+Z40+S40</f>
        <v>1670.0400000000002</v>
      </c>
      <c r="H40" s="48">
        <v>0.5</v>
      </c>
      <c r="I40" s="47">
        <f>ROUND(H40*$F40,2)</f>
        <v>226.44</v>
      </c>
      <c r="J40" s="48">
        <v>0.3</v>
      </c>
      <c r="K40" s="47">
        <f>ROUND($K$3*J40,2)</f>
        <v>75.900000000000006</v>
      </c>
      <c r="L40" s="48">
        <v>0.2</v>
      </c>
      <c r="M40" s="47">
        <f>ROUND(L40*$F40,2)</f>
        <v>90.57</v>
      </c>
      <c r="N40" s="300">
        <v>0.4</v>
      </c>
      <c r="O40" s="47">
        <f>ROUND(N40*$F40,2)</f>
        <v>181.15</v>
      </c>
      <c r="P40" s="48">
        <v>0</v>
      </c>
      <c r="Q40" s="47">
        <f>ROUND(P40*$F40,2)</f>
        <v>0</v>
      </c>
      <c r="R40" s="64">
        <v>1.4</v>
      </c>
      <c r="S40" s="67">
        <f>ROUND(R40*$F40,2)</f>
        <v>634.02</v>
      </c>
      <c r="T40" s="168">
        <v>0.8</v>
      </c>
      <c r="U40" s="47">
        <f>ROUND(T40*$F40,2)</f>
        <v>362.3</v>
      </c>
      <c r="V40" s="48">
        <v>0.2</v>
      </c>
      <c r="W40" s="47">
        <f>ROUND($K$3*V40,2)</f>
        <v>50.6</v>
      </c>
      <c r="X40" s="49">
        <f>ROUND($F40*1/12,2)</f>
        <v>37.74</v>
      </c>
      <c r="Y40" s="50">
        <f>ROUND($F40*0.3/12,2)</f>
        <v>11.32</v>
      </c>
      <c r="Z40" s="51">
        <f>X40+Y40</f>
        <v>49.06</v>
      </c>
      <c r="AA40" s="47">
        <f>ROUND($F40*AA$5,2)</f>
        <v>90.57</v>
      </c>
      <c r="AB40" s="52">
        <f>ROUND((F40+G40+AA40)/C40/60,4)</f>
        <v>0.25109999999999999</v>
      </c>
      <c r="AC40" s="8" t="s">
        <v>365</v>
      </c>
    </row>
    <row r="41" spans="1:29" ht="22.5" customHeight="1" x14ac:dyDescent="0.25">
      <c r="A41" s="46"/>
      <c r="B41" s="722" t="s">
        <v>293</v>
      </c>
      <c r="C41" s="723"/>
      <c r="D41" s="723"/>
      <c r="E41" s="724"/>
      <c r="F41" s="413"/>
      <c r="G41" s="58"/>
      <c r="H41" s="48"/>
      <c r="I41" s="47"/>
      <c r="J41" s="48"/>
      <c r="K41" s="47"/>
      <c r="L41" s="48"/>
      <c r="M41" s="47"/>
      <c r="N41" s="300"/>
      <c r="O41" s="47"/>
      <c r="P41" s="48"/>
      <c r="Q41" s="47"/>
      <c r="R41" s="64"/>
      <c r="S41" s="67"/>
      <c r="T41" s="67"/>
      <c r="U41" s="47"/>
      <c r="V41" s="48"/>
      <c r="W41" s="47"/>
      <c r="X41" s="49"/>
      <c r="Y41" s="50"/>
      <c r="Z41" s="51"/>
      <c r="AA41" s="47"/>
      <c r="AB41" s="52"/>
    </row>
    <row r="42" spans="1:29" ht="16.5" hidden="1" customHeight="1" x14ac:dyDescent="0.25">
      <c r="A42" s="46"/>
      <c r="B42" s="11"/>
      <c r="C42" s="47"/>
      <c r="D42" s="279"/>
      <c r="E42" s="415"/>
      <c r="F42" s="413"/>
      <c r="G42" s="58"/>
      <c r="H42" s="48"/>
      <c r="I42" s="47"/>
      <c r="J42" s="48"/>
      <c r="K42" s="47"/>
      <c r="L42" s="48"/>
      <c r="M42" s="47"/>
      <c r="N42" s="300"/>
      <c r="O42" s="47"/>
      <c r="P42" s="48"/>
      <c r="Q42" s="47"/>
      <c r="R42" s="64"/>
      <c r="S42" s="67"/>
      <c r="T42" s="67"/>
      <c r="U42" s="47"/>
      <c r="V42" s="48"/>
      <c r="W42" s="47"/>
      <c r="X42" s="49"/>
      <c r="Y42" s="50"/>
      <c r="Z42" s="51"/>
      <c r="AA42" s="47"/>
      <c r="AB42" s="52"/>
    </row>
    <row r="43" spans="1:29" ht="33" x14ac:dyDescent="0.25">
      <c r="A43" s="46" t="s">
        <v>31</v>
      </c>
      <c r="B43" s="11" t="s">
        <v>253</v>
      </c>
      <c r="C43" s="47">
        <v>161.68</v>
      </c>
      <c r="D43" s="279">
        <f>F43+G43+AA43</f>
        <v>1822.7399999999998</v>
      </c>
      <c r="E43" s="415">
        <f>ROUND(D43/C43/60,4)</f>
        <v>0.18790000000000001</v>
      </c>
      <c r="F43" s="413">
        <f>345/250*253</f>
        <v>349.14</v>
      </c>
      <c r="G43" s="58">
        <f>I43+K43+M43+O43+Q43+U43+W43+Z43+S43</f>
        <v>1403.77</v>
      </c>
      <c r="H43" s="48">
        <v>0.15</v>
      </c>
      <c r="I43" s="47">
        <f>ROUND(H43*$F43,2)</f>
        <v>52.37</v>
      </c>
      <c r="J43" s="48">
        <v>0.3</v>
      </c>
      <c r="K43" s="47">
        <f>ROUND($K$3*J43,2)</f>
        <v>75.900000000000006</v>
      </c>
      <c r="L43" s="48">
        <v>0.3</v>
      </c>
      <c r="M43" s="47">
        <f>ROUND(L43*$F43,2)</f>
        <v>104.74</v>
      </c>
      <c r="N43" s="300">
        <v>1.1000000000000001</v>
      </c>
      <c r="O43" s="47">
        <f>ROUND(N43*$F43,2)</f>
        <v>384.05</v>
      </c>
      <c r="P43" s="48">
        <v>0</v>
      </c>
      <c r="Q43" s="47">
        <f>ROUND(P43*$F43,2)</f>
        <v>0</v>
      </c>
      <c r="R43" s="64">
        <v>1.2</v>
      </c>
      <c r="S43" s="67">
        <f>ROUND(R43*$F43,2)</f>
        <v>418.97</v>
      </c>
      <c r="T43" s="168">
        <v>0.8</v>
      </c>
      <c r="U43" s="47">
        <f>ROUND(T43*$F43,2)</f>
        <v>279.31</v>
      </c>
      <c r="V43" s="48">
        <v>0.2</v>
      </c>
      <c r="W43" s="47">
        <f>ROUND($K$3*V43,2)</f>
        <v>50.6</v>
      </c>
      <c r="X43" s="49">
        <f>ROUND($F43*1/12,2)</f>
        <v>29.1</v>
      </c>
      <c r="Y43" s="50">
        <f>ROUND($F43*0.3/12,2)</f>
        <v>8.73</v>
      </c>
      <c r="Z43" s="51">
        <f>X43+Y43</f>
        <v>37.83</v>
      </c>
      <c r="AA43" s="47">
        <f>ROUND($F43*AA$5,2)</f>
        <v>69.83</v>
      </c>
      <c r="AB43" s="52">
        <f>ROUND((F43+G43+AA43)/C43/60,4)</f>
        <v>0.18790000000000001</v>
      </c>
      <c r="AC43" s="8" t="s">
        <v>294</v>
      </c>
    </row>
    <row r="44" spans="1:29" ht="66" x14ac:dyDescent="0.25">
      <c r="A44" s="46" t="s">
        <v>31</v>
      </c>
      <c r="B44" s="11" t="s">
        <v>408</v>
      </c>
      <c r="C44" s="47">
        <v>161.68</v>
      </c>
      <c r="D44" s="279">
        <f>F44+G44+AA44</f>
        <v>1395.9299999999998</v>
      </c>
      <c r="E44" s="415">
        <f>ROUND(D44/C44/60,4)</f>
        <v>0.1439</v>
      </c>
      <c r="F44" s="413">
        <f t="shared" ref="F44:F45" si="24">345/250*253</f>
        <v>349.14</v>
      </c>
      <c r="G44" s="58">
        <f>I44+K44+M44+O44+Q44+U44+W44+Z44+S44</f>
        <v>976.96</v>
      </c>
      <c r="H44" s="48">
        <v>0.5</v>
      </c>
      <c r="I44" s="47">
        <f>ROUND(H44*$F44,2)</f>
        <v>174.57</v>
      </c>
      <c r="J44" s="48">
        <v>0.3</v>
      </c>
      <c r="K44" s="47">
        <f>ROUND($K$3*J44,2)</f>
        <v>75.900000000000006</v>
      </c>
      <c r="L44" s="48">
        <v>0.3</v>
      </c>
      <c r="M44" s="47">
        <f>ROUND(L44*$F44,2)</f>
        <v>104.74</v>
      </c>
      <c r="N44" s="300"/>
      <c r="O44" s="47">
        <f>ROUND(N44*$F44,2)</f>
        <v>0</v>
      </c>
      <c r="P44" s="48">
        <v>0</v>
      </c>
      <c r="Q44" s="47">
        <f>ROUND(P44*$F44,2)</f>
        <v>0</v>
      </c>
      <c r="R44" s="64">
        <v>0.8</v>
      </c>
      <c r="S44" s="67">
        <f>ROUND(R44*$F44,2)</f>
        <v>279.31</v>
      </c>
      <c r="T44" s="168">
        <v>0.8</v>
      </c>
      <c r="U44" s="47">
        <f>ROUND(T44*$F44,2)</f>
        <v>279.31</v>
      </c>
      <c r="V44" s="48">
        <v>0.1</v>
      </c>
      <c r="W44" s="47">
        <f>ROUND($K$3*V44,2)</f>
        <v>25.3</v>
      </c>
      <c r="X44" s="49">
        <f>ROUND($F44*1/12,2)</f>
        <v>29.1</v>
      </c>
      <c r="Y44" s="50">
        <f>ROUND($F44*0.3/12,2)</f>
        <v>8.73</v>
      </c>
      <c r="Z44" s="51">
        <f>X44+Y44</f>
        <v>37.83</v>
      </c>
      <c r="AA44" s="47">
        <f>ROUND($F44*AA$5,2)</f>
        <v>69.83</v>
      </c>
      <c r="AB44" s="52">
        <f>ROUND((F44+G44+AA44)/C44/60,4)</f>
        <v>0.1439</v>
      </c>
      <c r="AC44" s="8" t="s">
        <v>295</v>
      </c>
    </row>
    <row r="45" spans="1:29" ht="71.25" customHeight="1" x14ac:dyDescent="0.25">
      <c r="A45" s="46" t="s">
        <v>31</v>
      </c>
      <c r="B45" s="11" t="s">
        <v>409</v>
      </c>
      <c r="C45" s="47">
        <v>161.68</v>
      </c>
      <c r="D45" s="279">
        <f>F45+G45+AA45</f>
        <v>1578.35</v>
      </c>
      <c r="E45" s="415">
        <f>ROUND(D45/C45/60,4)</f>
        <v>0.16270000000000001</v>
      </c>
      <c r="F45" s="413">
        <f t="shared" si="24"/>
        <v>349.14</v>
      </c>
      <c r="G45" s="58">
        <f>I45+K45+M45+O45+Q45+U45+W45+Z45+S45</f>
        <v>1159.3800000000001</v>
      </c>
      <c r="H45" s="48">
        <v>0.4</v>
      </c>
      <c r="I45" s="47">
        <f>ROUND(H45*$F45,2)</f>
        <v>139.66</v>
      </c>
      <c r="J45" s="48">
        <v>0.3</v>
      </c>
      <c r="K45" s="47">
        <f>ROUND($K$3*J45,2)</f>
        <v>75.900000000000006</v>
      </c>
      <c r="L45" s="48">
        <v>0.3</v>
      </c>
      <c r="M45" s="47">
        <f>ROUND(L45*$F45,2)</f>
        <v>104.74</v>
      </c>
      <c r="N45" s="300"/>
      <c r="O45" s="47">
        <f>ROUND(N45*$F45,2)</f>
        <v>0</v>
      </c>
      <c r="P45" s="48">
        <v>0.5</v>
      </c>
      <c r="Q45" s="47">
        <f>ROUND(P45*$F45,2)</f>
        <v>174.57</v>
      </c>
      <c r="R45" s="64">
        <v>0.85</v>
      </c>
      <c r="S45" s="67">
        <f>ROUND(R45*$F45,2)</f>
        <v>296.77</v>
      </c>
      <c r="T45" s="168">
        <v>0.8</v>
      </c>
      <c r="U45" s="47">
        <f>ROUND(T45*$F45,2)</f>
        <v>279.31</v>
      </c>
      <c r="V45" s="48">
        <v>0.2</v>
      </c>
      <c r="W45" s="47">
        <f>ROUND($K$3*V45,2)</f>
        <v>50.6</v>
      </c>
      <c r="X45" s="49">
        <f>ROUND($F45*1/12,2)</f>
        <v>29.1</v>
      </c>
      <c r="Y45" s="50">
        <f>ROUND($F45*0.3/12,2)</f>
        <v>8.73</v>
      </c>
      <c r="Z45" s="51">
        <f>X45+Y45</f>
        <v>37.83</v>
      </c>
      <c r="AA45" s="47">
        <f>ROUND($F45*AA$5,2)</f>
        <v>69.83</v>
      </c>
      <c r="AB45" s="52">
        <f>ROUND((F45+G45+AA45)/C45/60,4)</f>
        <v>0.16270000000000001</v>
      </c>
      <c r="AC45" s="8" t="s">
        <v>296</v>
      </c>
    </row>
    <row r="46" spans="1:29" ht="49.5" x14ac:dyDescent="0.25">
      <c r="A46" s="46" t="s">
        <v>31</v>
      </c>
      <c r="B46" s="11" t="s">
        <v>410</v>
      </c>
      <c r="C46" s="47">
        <v>161.68</v>
      </c>
      <c r="D46" s="279">
        <f>F46+G46+AA46</f>
        <v>1679.48</v>
      </c>
      <c r="E46" s="415">
        <f>ROUND(D46/C46/60,4)</f>
        <v>0.1731</v>
      </c>
      <c r="F46" s="455">
        <f>322.5/250*253</f>
        <v>326.37</v>
      </c>
      <c r="G46" s="58">
        <f>I46+K46+M46+O46+Q46+U46+W46+Z46+S46</f>
        <v>1287.8400000000001</v>
      </c>
      <c r="H46" s="48">
        <v>0.5</v>
      </c>
      <c r="I46" s="47">
        <f>ROUND(H46*$F46,2)</f>
        <v>163.19</v>
      </c>
      <c r="J46" s="48">
        <v>0.3</v>
      </c>
      <c r="K46" s="47">
        <f>ROUND($K$3*J46,2)</f>
        <v>75.900000000000006</v>
      </c>
      <c r="L46" s="48">
        <v>0.2</v>
      </c>
      <c r="M46" s="47">
        <f>ROUND(L46*$F46,2)</f>
        <v>65.27</v>
      </c>
      <c r="N46" s="300">
        <v>1.1000000000000001</v>
      </c>
      <c r="O46" s="47">
        <f>ROUND(N46*$F46,2)</f>
        <v>359.01</v>
      </c>
      <c r="P46" s="48"/>
      <c r="Q46" s="47">
        <f>ROUND(P46*$F46,2)</f>
        <v>0</v>
      </c>
      <c r="R46" s="64">
        <v>0.85</v>
      </c>
      <c r="S46" s="67">
        <f>ROUND(R46*$F46,2)</f>
        <v>277.41000000000003</v>
      </c>
      <c r="T46" s="168">
        <v>0.8</v>
      </c>
      <c r="U46" s="47">
        <f>ROUND(T46*$F46,2)</f>
        <v>261.10000000000002</v>
      </c>
      <c r="V46" s="48">
        <v>0.2</v>
      </c>
      <c r="W46" s="47">
        <f>ROUND($K$3*V46,2)</f>
        <v>50.6</v>
      </c>
      <c r="X46" s="49">
        <f>ROUND($F46*1/12,2)</f>
        <v>27.2</v>
      </c>
      <c r="Y46" s="50">
        <f>ROUND($F46*0.3/12,2)</f>
        <v>8.16</v>
      </c>
      <c r="Z46" s="51">
        <f>X46+Y46</f>
        <v>35.36</v>
      </c>
      <c r="AA46" s="47">
        <f>ROUND($F46*AA$5,2)</f>
        <v>65.27</v>
      </c>
      <c r="AB46" s="52">
        <f>ROUND((F46+G46+AA46)/C46/60,4)</f>
        <v>0.1731</v>
      </c>
      <c r="AC46" s="8" t="s">
        <v>297</v>
      </c>
    </row>
    <row r="47" spans="1:29" x14ac:dyDescent="0.25">
      <c r="A47" s="416"/>
      <c r="B47" s="417"/>
      <c r="C47" s="418"/>
      <c r="D47" s="418"/>
      <c r="E47" s="419"/>
      <c r="F47" s="271"/>
      <c r="G47" s="272"/>
      <c r="H47" s="273"/>
      <c r="I47" s="270"/>
      <c r="J47" s="273"/>
      <c r="K47" s="270"/>
      <c r="L47" s="273"/>
      <c r="M47" s="270"/>
      <c r="N47" s="304"/>
      <c r="O47" s="270"/>
      <c r="P47" s="273"/>
      <c r="Q47" s="270"/>
      <c r="R47" s="64"/>
      <c r="S47" s="65"/>
      <c r="T47" s="274"/>
      <c r="U47" s="270"/>
      <c r="V47" s="273"/>
      <c r="W47" s="270"/>
      <c r="X47" s="275"/>
      <c r="Y47" s="276"/>
      <c r="Z47" s="277"/>
      <c r="AA47" s="270"/>
      <c r="AB47" s="278"/>
    </row>
    <row r="48" spans="1:29" ht="14.25" customHeight="1" x14ac:dyDescent="0.25">
      <c r="R48" s="64"/>
      <c r="S48" s="65"/>
    </row>
    <row r="49" spans="1:36" ht="22.5" customHeight="1" x14ac:dyDescent="0.25">
      <c r="R49" s="1"/>
      <c r="S49" s="1"/>
    </row>
    <row r="50" spans="1:36" s="8" customFormat="1" ht="17.25" customHeight="1" x14ac:dyDescent="0.25">
      <c r="A50" s="714" t="s">
        <v>25</v>
      </c>
      <c r="B50" s="714"/>
      <c r="C50" s="233" t="s">
        <v>34</v>
      </c>
      <c r="D50" s="246"/>
      <c r="E50" s="246"/>
      <c r="F50" s="53" t="s">
        <v>34</v>
      </c>
      <c r="G50" s="53"/>
      <c r="H50" s="53"/>
      <c r="I50" s="53"/>
      <c r="J50" s="53"/>
      <c r="K50" s="53"/>
      <c r="L50" s="53"/>
      <c r="M50" s="53"/>
      <c r="N50" s="54"/>
      <c r="O50" s="53"/>
      <c r="P50" s="1"/>
      <c r="Q50" s="1"/>
      <c r="R50" s="1"/>
      <c r="S50" s="1"/>
      <c r="T50" s="1"/>
      <c r="U50" s="53"/>
      <c r="V50" s="53"/>
      <c r="W50" s="53"/>
      <c r="X50" s="53"/>
      <c r="Y50" s="54"/>
      <c r="Z50" s="53"/>
      <c r="AB50" s="12"/>
      <c r="AD50" s="55"/>
      <c r="AE50" s="12"/>
      <c r="AF50" s="12"/>
      <c r="AJ50" s="1"/>
    </row>
    <row r="51" spans="1:36" ht="10.5" customHeight="1" x14ac:dyDescent="0.25">
      <c r="C51" s="233"/>
      <c r="F51" s="56"/>
      <c r="G51" s="56"/>
      <c r="H51" s="56"/>
      <c r="I51" s="56"/>
      <c r="J51" s="56"/>
      <c r="K51" s="56"/>
      <c r="L51" s="56"/>
      <c r="M51" s="56"/>
      <c r="N51" s="57"/>
      <c r="O51" s="56"/>
      <c r="R51" s="1"/>
      <c r="S51" s="1"/>
      <c r="U51" s="56"/>
      <c r="V51" s="56"/>
      <c r="W51" s="56"/>
      <c r="X51" s="56"/>
      <c r="Y51" s="57"/>
      <c r="Z51" s="56"/>
      <c r="AB51" s="12"/>
      <c r="AD51" s="55"/>
      <c r="AE51" s="12"/>
      <c r="AF51" s="12"/>
    </row>
    <row r="52" spans="1:36" ht="19.5" customHeight="1" x14ac:dyDescent="0.25">
      <c r="A52" s="1" t="s">
        <v>39</v>
      </c>
      <c r="C52" s="233" t="s">
        <v>32</v>
      </c>
      <c r="F52" s="56" t="s">
        <v>32</v>
      </c>
      <c r="G52" s="56"/>
      <c r="H52" s="56"/>
      <c r="I52" s="56"/>
      <c r="J52" s="56"/>
      <c r="K52" s="56"/>
      <c r="L52" s="56"/>
      <c r="M52" s="56"/>
      <c r="N52" s="57"/>
      <c r="O52" s="56"/>
      <c r="R52" s="1"/>
      <c r="S52" s="1"/>
      <c r="U52" s="56"/>
      <c r="V52" s="56"/>
      <c r="W52" s="56"/>
      <c r="X52" s="56"/>
      <c r="Y52" s="57"/>
      <c r="Z52" s="56"/>
      <c r="AB52" s="12"/>
      <c r="AD52" s="55"/>
      <c r="AE52" s="12"/>
      <c r="AF52" s="12"/>
    </row>
    <row r="53" spans="1:36" ht="9.75" customHeight="1" x14ac:dyDescent="0.25">
      <c r="C53" s="233"/>
      <c r="F53" s="56"/>
      <c r="G53" s="56"/>
      <c r="H53" s="56"/>
      <c r="I53" s="56"/>
      <c r="J53" s="56"/>
      <c r="K53" s="56"/>
      <c r="L53" s="56"/>
      <c r="M53" s="56"/>
      <c r="N53" s="57"/>
      <c r="O53" s="56"/>
      <c r="R53" s="1"/>
      <c r="S53" s="1"/>
      <c r="U53" s="56"/>
      <c r="V53" s="56"/>
      <c r="W53" s="56"/>
      <c r="X53" s="56"/>
      <c r="Y53" s="57"/>
      <c r="Z53" s="56"/>
      <c r="AB53" s="12"/>
      <c r="AD53" s="55"/>
      <c r="AE53" s="12"/>
      <c r="AF53" s="12"/>
    </row>
    <row r="54" spans="1:36" ht="24" customHeight="1" x14ac:dyDescent="0.25">
      <c r="A54" s="714" t="s">
        <v>22</v>
      </c>
      <c r="B54" s="714"/>
      <c r="C54" s="233" t="s">
        <v>33</v>
      </c>
      <c r="D54" s="246"/>
      <c r="E54" s="246"/>
      <c r="F54" s="53" t="s">
        <v>33</v>
      </c>
      <c r="G54" s="53"/>
      <c r="H54" s="53"/>
      <c r="I54" s="53"/>
      <c r="J54" s="53"/>
      <c r="K54" s="53"/>
      <c r="L54" s="53"/>
      <c r="M54" s="53"/>
      <c r="N54" s="54"/>
      <c r="O54" s="53"/>
      <c r="P54" s="53"/>
      <c r="Q54" s="53"/>
      <c r="R54" s="1"/>
      <c r="S54" s="1"/>
      <c r="T54" s="53"/>
      <c r="U54" s="53"/>
      <c r="V54" s="53"/>
      <c r="W54" s="53"/>
      <c r="X54" s="53"/>
      <c r="Y54" s="54"/>
      <c r="Z54" s="53"/>
      <c r="AB54" s="12"/>
      <c r="AD54" s="55"/>
      <c r="AE54" s="12"/>
      <c r="AF54" s="12"/>
    </row>
    <row r="55" spans="1:36" s="3" customFormat="1" ht="12" customHeight="1" x14ac:dyDescent="0.25">
      <c r="A55" s="2"/>
      <c r="B55" s="6"/>
      <c r="F55" s="2"/>
      <c r="G55" s="2"/>
      <c r="H55" s="2"/>
      <c r="I55" s="2"/>
      <c r="J55" s="2"/>
      <c r="K55" s="2"/>
      <c r="L55" s="2"/>
      <c r="M55" s="2"/>
      <c r="N55" s="19"/>
      <c r="O55" s="2"/>
      <c r="P55" s="2"/>
      <c r="Q55" s="2"/>
      <c r="R55" s="1"/>
      <c r="S55" s="1"/>
      <c r="T55" s="2"/>
      <c r="U55" s="2"/>
      <c r="V55" s="2"/>
      <c r="W55" s="2"/>
      <c r="X55" s="2"/>
      <c r="Y55" s="19"/>
      <c r="Z55" s="2"/>
      <c r="AA55" s="2"/>
    </row>
    <row r="56" spans="1:36" x14ac:dyDescent="0.25">
      <c r="R56" s="1"/>
      <c r="S56" s="1"/>
    </row>
    <row r="57" spans="1:36" x14ac:dyDescent="0.25">
      <c r="F57" s="15"/>
      <c r="G57" s="15"/>
      <c r="H57" s="15"/>
      <c r="I57" s="15"/>
      <c r="J57" s="15"/>
      <c r="K57" s="15"/>
      <c r="L57" s="15"/>
      <c r="M57" s="15"/>
      <c r="N57" s="20"/>
      <c r="O57" s="15"/>
      <c r="P57" s="15"/>
      <c r="Q57" s="15"/>
      <c r="R57" s="69"/>
      <c r="S57" s="69"/>
      <c r="T57" s="15"/>
      <c r="U57" s="15"/>
      <c r="V57" s="15"/>
      <c r="W57" s="15"/>
      <c r="X57" s="15"/>
      <c r="Y57" s="20"/>
      <c r="Z57" s="15"/>
    </row>
    <row r="58" spans="1:36" x14ac:dyDescent="0.25">
      <c r="F58" s="15"/>
      <c r="G58" s="15"/>
      <c r="H58" s="15"/>
      <c r="I58" s="15"/>
      <c r="J58" s="15"/>
      <c r="K58" s="15"/>
      <c r="L58" s="15"/>
      <c r="M58" s="15"/>
      <c r="N58" s="20"/>
      <c r="O58" s="15"/>
      <c r="P58" s="15"/>
      <c r="Q58" s="15"/>
      <c r="R58" s="69"/>
      <c r="S58" s="69"/>
      <c r="T58" s="15"/>
      <c r="U58" s="15"/>
      <c r="V58" s="15"/>
      <c r="W58" s="15"/>
      <c r="X58" s="15"/>
      <c r="Y58" s="20"/>
      <c r="Z58" s="15"/>
    </row>
    <row r="59" spans="1:36" x14ac:dyDescent="0.25">
      <c r="R59" s="69"/>
      <c r="S59" s="69"/>
    </row>
    <row r="60" spans="1:36" x14ac:dyDescent="0.25">
      <c r="F60" s="16"/>
      <c r="G60" s="16"/>
      <c r="H60" s="16"/>
      <c r="I60" s="16"/>
      <c r="J60" s="16"/>
      <c r="K60" s="16"/>
      <c r="L60" s="16"/>
      <c r="M60" s="16"/>
      <c r="N60" s="21"/>
      <c r="O60" s="16"/>
      <c r="P60" s="16"/>
      <c r="Q60" s="16"/>
      <c r="R60" s="68"/>
      <c r="S60" s="68"/>
      <c r="T60" s="16"/>
      <c r="U60" s="16"/>
      <c r="V60" s="16"/>
      <c r="W60" s="16"/>
      <c r="X60" s="16"/>
      <c r="Y60" s="21"/>
      <c r="Z60" s="16"/>
    </row>
    <row r="61" spans="1:36" x14ac:dyDescent="0.25">
      <c r="R61" s="70"/>
      <c r="S61" s="70"/>
    </row>
    <row r="63" spans="1:36" x14ac:dyDescent="0.25">
      <c r="R63" s="71"/>
      <c r="S63" s="71"/>
    </row>
    <row r="64" spans="1:36" x14ac:dyDescent="0.25">
      <c r="R64" s="71"/>
      <c r="S64" s="71"/>
    </row>
    <row r="66" spans="18:19" x14ac:dyDescent="0.25">
      <c r="R66" s="71"/>
      <c r="S66" s="71"/>
    </row>
    <row r="67" spans="18:19" x14ac:dyDescent="0.25">
      <c r="R67" s="71"/>
      <c r="S67" s="71"/>
    </row>
    <row r="70" spans="18:19" x14ac:dyDescent="0.25">
      <c r="R70" s="72"/>
      <c r="S70" s="72"/>
    </row>
    <row r="71" spans="18:19" x14ac:dyDescent="0.25">
      <c r="R71" s="72"/>
      <c r="S71" s="72"/>
    </row>
    <row r="72" spans="18:19" x14ac:dyDescent="0.25">
      <c r="R72" s="72"/>
      <c r="S72" s="72"/>
    </row>
    <row r="73" spans="18:19" x14ac:dyDescent="0.25">
      <c r="R73" s="72"/>
      <c r="S73" s="72"/>
    </row>
    <row r="75" spans="18:19" x14ac:dyDescent="0.25">
      <c r="R75" s="73"/>
      <c r="S75" s="73"/>
    </row>
  </sheetData>
  <mergeCells count="28">
    <mergeCell ref="A1:AB1"/>
    <mergeCell ref="A4:A7"/>
    <mergeCell ref="B4:B7"/>
    <mergeCell ref="C4:C7"/>
    <mergeCell ref="F4:Z4"/>
    <mergeCell ref="AB4:AB7"/>
    <mergeCell ref="F5:F7"/>
    <mergeCell ref="G5:G7"/>
    <mergeCell ref="H5:W5"/>
    <mergeCell ref="X5:X6"/>
    <mergeCell ref="R6:S6"/>
    <mergeCell ref="AA5:AA7"/>
    <mergeCell ref="H6:I6"/>
    <mergeCell ref="J6:K6"/>
    <mergeCell ref="L6:M6"/>
    <mergeCell ref="N6:O6"/>
    <mergeCell ref="A54:B54"/>
    <mergeCell ref="Y5:Y6"/>
    <mergeCell ref="Z5:Z6"/>
    <mergeCell ref="D4:D7"/>
    <mergeCell ref="E4:E7"/>
    <mergeCell ref="B41:E41"/>
    <mergeCell ref="B32:E32"/>
    <mergeCell ref="P6:Q6"/>
    <mergeCell ref="T6:U6"/>
    <mergeCell ref="V6:W6"/>
    <mergeCell ref="B28:E28"/>
    <mergeCell ref="A50:B50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topLeftCell="A22" workbookViewId="0">
      <selection activeCell="H18" sqref="H18"/>
    </sheetView>
  </sheetViews>
  <sheetFormatPr defaultRowHeight="16.5" x14ac:dyDescent="0.25"/>
  <cols>
    <col min="1" max="1" width="9.140625" style="268"/>
    <col min="2" max="2" width="30.28515625" style="269" customWidth="1"/>
    <col min="3" max="3" width="18.85546875" style="269" customWidth="1"/>
    <col min="4" max="5" width="26.28515625" style="269" customWidth="1"/>
    <col min="6" max="6" width="29.28515625" style="269" customWidth="1"/>
    <col min="7" max="16384" width="9.140625" style="269"/>
  </cols>
  <sheetData>
    <row r="1" spans="1:6" s="249" customFormat="1" ht="69.75" customHeight="1" x14ac:dyDescent="0.2">
      <c r="A1" s="248"/>
      <c r="B1" s="740" t="s">
        <v>407</v>
      </c>
      <c r="C1" s="741"/>
      <c r="D1" s="741"/>
      <c r="E1" s="329"/>
    </row>
    <row r="2" spans="1:6" s="249" customFormat="1" ht="88.5" customHeight="1" x14ac:dyDescent="0.2">
      <c r="A2" s="742" t="s">
        <v>0</v>
      </c>
      <c r="B2" s="250" t="s">
        <v>204</v>
      </c>
      <c r="C2" s="251" t="s">
        <v>205</v>
      </c>
      <c r="D2" s="252" t="s">
        <v>206</v>
      </c>
      <c r="E2" s="252" t="s">
        <v>314</v>
      </c>
    </row>
    <row r="3" spans="1:6" s="249" customFormat="1" ht="23.25" customHeight="1" x14ac:dyDescent="0.2">
      <c r="A3" s="743"/>
      <c r="B3" s="253">
        <v>1</v>
      </c>
      <c r="C3" s="254">
        <v>2</v>
      </c>
      <c r="D3" s="254">
        <v>3</v>
      </c>
      <c r="E3" s="254">
        <v>4</v>
      </c>
    </row>
    <row r="4" spans="1:6" s="255" customFormat="1" ht="17.25" x14ac:dyDescent="0.2">
      <c r="A4" s="744" t="s">
        <v>207</v>
      </c>
      <c r="B4" s="745"/>
      <c r="C4" s="745"/>
      <c r="D4" s="746"/>
      <c r="E4" s="333"/>
    </row>
    <row r="5" spans="1:6" s="249" customFormat="1" ht="22.5" customHeight="1" x14ac:dyDescent="0.2">
      <c r="A5" s="334">
        <v>1</v>
      </c>
      <c r="B5" s="335" t="s">
        <v>161</v>
      </c>
      <c r="C5" s="336">
        <f t="shared" ref="C5:C10" si="0">24+1+14</f>
        <v>39</v>
      </c>
      <c r="D5" s="336">
        <f>366-10</f>
        <v>356</v>
      </c>
      <c r="E5" s="330">
        <f>ROUND(C5/D5,2)</f>
        <v>0.11</v>
      </c>
      <c r="F5" s="249" t="s">
        <v>208</v>
      </c>
    </row>
    <row r="6" spans="1:6" s="249" customFormat="1" ht="22.5" customHeight="1" x14ac:dyDescent="0.2">
      <c r="A6" s="256">
        <v>2</v>
      </c>
      <c r="B6" s="257" t="s">
        <v>27</v>
      </c>
      <c r="C6" s="258">
        <f t="shared" si="0"/>
        <v>39</v>
      </c>
      <c r="D6" s="258">
        <f t="shared" ref="D6:D40" si="1">366-10</f>
        <v>356</v>
      </c>
      <c r="E6" s="331">
        <f t="shared" ref="E6:E40" si="2">ROUND(C6/D6,2)</f>
        <v>0.11</v>
      </c>
      <c r="F6" s="249" t="s">
        <v>209</v>
      </c>
    </row>
    <row r="7" spans="1:6" s="249" customFormat="1" ht="22.5" customHeight="1" x14ac:dyDescent="0.2">
      <c r="A7" s="256">
        <v>3</v>
      </c>
      <c r="B7" s="257" t="s">
        <v>27</v>
      </c>
      <c r="C7" s="258">
        <f t="shared" si="0"/>
        <v>39</v>
      </c>
      <c r="D7" s="258">
        <f t="shared" si="1"/>
        <v>356</v>
      </c>
      <c r="E7" s="331">
        <f t="shared" si="2"/>
        <v>0.11</v>
      </c>
      <c r="F7" s="249" t="s">
        <v>210</v>
      </c>
    </row>
    <row r="8" spans="1:6" s="249" customFormat="1" ht="22.5" customHeight="1" x14ac:dyDescent="0.2">
      <c r="A8" s="256">
        <v>4</v>
      </c>
      <c r="B8" s="11" t="s">
        <v>40</v>
      </c>
      <c r="C8" s="258">
        <f t="shared" si="0"/>
        <v>39</v>
      </c>
      <c r="D8" s="258">
        <f t="shared" si="1"/>
        <v>356</v>
      </c>
      <c r="E8" s="331">
        <f t="shared" ref="E8" si="3">ROUND(C8/D8,2)</f>
        <v>0.11</v>
      </c>
      <c r="F8" s="249" t="s">
        <v>164</v>
      </c>
    </row>
    <row r="9" spans="1:6" s="249" customFormat="1" ht="22.5" customHeight="1" x14ac:dyDescent="0.2">
      <c r="A9" s="256">
        <v>5</v>
      </c>
      <c r="B9" s="257" t="s">
        <v>27</v>
      </c>
      <c r="C9" s="258">
        <f t="shared" si="0"/>
        <v>39</v>
      </c>
      <c r="D9" s="258">
        <f t="shared" si="1"/>
        <v>356</v>
      </c>
      <c r="E9" s="331">
        <f t="shared" si="2"/>
        <v>0.11</v>
      </c>
      <c r="F9" s="249" t="s">
        <v>211</v>
      </c>
    </row>
    <row r="10" spans="1:6" s="249" customFormat="1" ht="22.5" customHeight="1" x14ac:dyDescent="0.2">
      <c r="A10" s="256">
        <v>6</v>
      </c>
      <c r="B10" s="257" t="s">
        <v>212</v>
      </c>
      <c r="C10" s="258">
        <f t="shared" si="0"/>
        <v>39</v>
      </c>
      <c r="D10" s="258">
        <f t="shared" si="1"/>
        <v>356</v>
      </c>
      <c r="E10" s="331">
        <f t="shared" si="2"/>
        <v>0.11</v>
      </c>
      <c r="F10" s="249" t="s">
        <v>213</v>
      </c>
    </row>
    <row r="11" spans="1:6" s="255" customFormat="1" ht="17.25" x14ac:dyDescent="0.2">
      <c r="A11" s="738" t="s">
        <v>214</v>
      </c>
      <c r="B11" s="739"/>
      <c r="C11" s="739"/>
      <c r="D11" s="739"/>
      <c r="E11" s="331"/>
    </row>
    <row r="12" spans="1:6" s="249" customFormat="1" ht="24.75" customHeight="1" x14ac:dyDescent="0.2">
      <c r="A12" s="256">
        <v>6</v>
      </c>
      <c r="B12" s="257" t="s">
        <v>215</v>
      </c>
      <c r="C12" s="258">
        <f>24+1+4</f>
        <v>29</v>
      </c>
      <c r="D12" s="258">
        <f t="shared" si="1"/>
        <v>356</v>
      </c>
      <c r="E12" s="331">
        <f t="shared" si="2"/>
        <v>0.08</v>
      </c>
      <c r="F12" s="249" t="s">
        <v>216</v>
      </c>
    </row>
    <row r="13" spans="1:6" s="249" customFormat="1" ht="24.75" customHeight="1" x14ac:dyDescent="0.2">
      <c r="A13" s="256">
        <v>7</v>
      </c>
      <c r="B13" s="257" t="s">
        <v>217</v>
      </c>
      <c r="C13" s="258">
        <f>24+1+4</f>
        <v>29</v>
      </c>
      <c r="D13" s="258">
        <f t="shared" si="1"/>
        <v>356</v>
      </c>
      <c r="E13" s="331">
        <f t="shared" si="2"/>
        <v>0.08</v>
      </c>
      <c r="F13" s="249" t="s">
        <v>218</v>
      </c>
    </row>
    <row r="14" spans="1:6" s="249" customFormat="1" ht="31.5" customHeight="1" x14ac:dyDescent="0.2">
      <c r="A14" s="256">
        <v>8</v>
      </c>
      <c r="B14" s="257" t="s">
        <v>219</v>
      </c>
      <c r="C14" s="258">
        <f>24+1+4</f>
        <v>29</v>
      </c>
      <c r="D14" s="258">
        <f t="shared" si="1"/>
        <v>356</v>
      </c>
      <c r="E14" s="331">
        <f t="shared" si="2"/>
        <v>0.08</v>
      </c>
      <c r="F14" s="259" t="s">
        <v>220</v>
      </c>
    </row>
    <row r="15" spans="1:6" s="249" customFormat="1" ht="25.5" customHeight="1" x14ac:dyDescent="0.2">
      <c r="A15" s="256">
        <v>9</v>
      </c>
      <c r="B15" s="257" t="s">
        <v>221</v>
      </c>
      <c r="C15" s="258">
        <f>24+1+7</f>
        <v>32</v>
      </c>
      <c r="D15" s="258">
        <f t="shared" si="1"/>
        <v>356</v>
      </c>
      <c r="E15" s="331">
        <f t="shared" si="2"/>
        <v>0.09</v>
      </c>
      <c r="F15" s="249" t="s">
        <v>222</v>
      </c>
    </row>
    <row r="16" spans="1:6" s="249" customFormat="1" ht="25.5" customHeight="1" x14ac:dyDescent="0.2">
      <c r="A16" s="256">
        <v>10</v>
      </c>
      <c r="B16" s="257" t="s">
        <v>404</v>
      </c>
      <c r="C16" s="258">
        <f>30+1+4</f>
        <v>35</v>
      </c>
      <c r="D16" s="258">
        <f t="shared" si="1"/>
        <v>356</v>
      </c>
      <c r="E16" s="331">
        <f>ROUND(C16/D16,2)</f>
        <v>0.1</v>
      </c>
      <c r="F16" s="249" t="s">
        <v>405</v>
      </c>
    </row>
    <row r="17" spans="1:6" s="255" customFormat="1" ht="17.25" x14ac:dyDescent="0.2">
      <c r="A17" s="738" t="s">
        <v>223</v>
      </c>
      <c r="B17" s="739"/>
      <c r="C17" s="739"/>
      <c r="D17" s="739"/>
      <c r="E17" s="331"/>
    </row>
    <row r="18" spans="1:6" s="249" customFormat="1" ht="24" customHeight="1" x14ac:dyDescent="0.2">
      <c r="A18" s="256">
        <v>10</v>
      </c>
      <c r="B18" s="257" t="s">
        <v>224</v>
      </c>
      <c r="C18" s="258">
        <f>24+1+14</f>
        <v>39</v>
      </c>
      <c r="D18" s="258">
        <f t="shared" si="1"/>
        <v>356</v>
      </c>
      <c r="E18" s="331">
        <f t="shared" si="2"/>
        <v>0.11</v>
      </c>
      <c r="F18" s="249" t="s">
        <v>225</v>
      </c>
    </row>
    <row r="19" spans="1:6" s="249" customFormat="1" ht="24" customHeight="1" x14ac:dyDescent="0.2">
      <c r="A19" s="256">
        <v>11</v>
      </c>
      <c r="B19" s="257" t="s">
        <v>224</v>
      </c>
      <c r="C19" s="258">
        <f>24+1+14</f>
        <v>39</v>
      </c>
      <c r="D19" s="258">
        <f t="shared" si="1"/>
        <v>356</v>
      </c>
      <c r="E19" s="331">
        <f t="shared" si="2"/>
        <v>0.11</v>
      </c>
      <c r="F19" s="249" t="s">
        <v>226</v>
      </c>
    </row>
    <row r="20" spans="1:6" s="249" customFormat="1" ht="24" customHeight="1" x14ac:dyDescent="0.2">
      <c r="A20" s="256">
        <v>12</v>
      </c>
      <c r="B20" s="257" t="s">
        <v>224</v>
      </c>
      <c r="C20" s="258">
        <f>24+1+14</f>
        <v>39</v>
      </c>
      <c r="D20" s="258">
        <f t="shared" si="1"/>
        <v>356</v>
      </c>
      <c r="E20" s="331">
        <f t="shared" si="2"/>
        <v>0.11</v>
      </c>
      <c r="F20" s="249" t="s">
        <v>227</v>
      </c>
    </row>
    <row r="21" spans="1:6" s="249" customFormat="1" ht="24" customHeight="1" x14ac:dyDescent="0.2">
      <c r="A21" s="256">
        <v>13</v>
      </c>
      <c r="B21" s="257" t="s">
        <v>228</v>
      </c>
      <c r="C21" s="258">
        <f>24+1+4</f>
        <v>29</v>
      </c>
      <c r="D21" s="258">
        <f t="shared" si="1"/>
        <v>356</v>
      </c>
      <c r="E21" s="331">
        <f t="shared" si="2"/>
        <v>0.08</v>
      </c>
      <c r="F21" s="249" t="s">
        <v>229</v>
      </c>
    </row>
    <row r="22" spans="1:6" s="255" customFormat="1" ht="17.25" x14ac:dyDescent="0.2">
      <c r="A22" s="738" t="s">
        <v>230</v>
      </c>
      <c r="B22" s="739"/>
      <c r="C22" s="739"/>
      <c r="D22" s="739"/>
      <c r="E22" s="331"/>
    </row>
    <row r="23" spans="1:6" s="249" customFormat="1" ht="24" customHeight="1" x14ac:dyDescent="0.2">
      <c r="A23" s="256">
        <v>14</v>
      </c>
      <c r="B23" s="257" t="s">
        <v>231</v>
      </c>
      <c r="C23" s="258">
        <f>24+1+14</f>
        <v>39</v>
      </c>
      <c r="D23" s="258">
        <f t="shared" si="1"/>
        <v>356</v>
      </c>
      <c r="E23" s="331">
        <f t="shared" si="2"/>
        <v>0.11</v>
      </c>
      <c r="F23" s="249" t="s">
        <v>232</v>
      </c>
    </row>
    <row r="24" spans="1:6" s="255" customFormat="1" ht="17.25" x14ac:dyDescent="0.2">
      <c r="A24" s="738" t="s">
        <v>233</v>
      </c>
      <c r="B24" s="739"/>
      <c r="C24" s="739"/>
      <c r="D24" s="739"/>
      <c r="E24" s="331"/>
    </row>
    <row r="25" spans="1:6" s="249" customFormat="1" ht="28.5" customHeight="1" x14ac:dyDescent="0.2">
      <c r="A25" s="256">
        <v>15</v>
      </c>
      <c r="B25" s="257" t="s">
        <v>234</v>
      </c>
      <c r="C25" s="258">
        <f>24+1+14</f>
        <v>39</v>
      </c>
      <c r="D25" s="258">
        <f t="shared" si="1"/>
        <v>356</v>
      </c>
      <c r="E25" s="331">
        <f t="shared" si="2"/>
        <v>0.11</v>
      </c>
      <c r="F25" s="249" t="s">
        <v>235</v>
      </c>
    </row>
    <row r="26" spans="1:6" s="255" customFormat="1" ht="17.25" x14ac:dyDescent="0.2">
      <c r="A26" s="738" t="s">
        <v>236</v>
      </c>
      <c r="B26" s="739"/>
      <c r="C26" s="739"/>
      <c r="D26" s="739"/>
      <c r="E26" s="331"/>
    </row>
    <row r="27" spans="1:6" s="249" customFormat="1" ht="27" customHeight="1" x14ac:dyDescent="0.2">
      <c r="A27" s="256">
        <v>16</v>
      </c>
      <c r="B27" s="257" t="s">
        <v>27</v>
      </c>
      <c r="C27" s="258">
        <f>24+1+14</f>
        <v>39</v>
      </c>
      <c r="D27" s="258">
        <f t="shared" si="1"/>
        <v>356</v>
      </c>
      <c r="E27" s="331">
        <f t="shared" si="2"/>
        <v>0.11</v>
      </c>
      <c r="F27" s="249" t="s">
        <v>237</v>
      </c>
    </row>
    <row r="28" spans="1:6" s="249" customFormat="1" ht="33" x14ac:dyDescent="0.2">
      <c r="A28" s="256">
        <v>17</v>
      </c>
      <c r="B28" s="257" t="s">
        <v>238</v>
      </c>
      <c r="C28" s="258">
        <f>24+1+14</f>
        <v>39</v>
      </c>
      <c r="D28" s="258">
        <f t="shared" si="1"/>
        <v>356</v>
      </c>
      <c r="E28" s="331">
        <f t="shared" si="2"/>
        <v>0.11</v>
      </c>
      <c r="F28" s="260" t="s">
        <v>239</v>
      </c>
    </row>
    <row r="29" spans="1:6" s="255" customFormat="1" ht="17.25" x14ac:dyDescent="0.2">
      <c r="A29" s="738" t="s">
        <v>240</v>
      </c>
      <c r="B29" s="739"/>
      <c r="C29" s="739"/>
      <c r="D29" s="739"/>
      <c r="E29" s="331"/>
    </row>
    <row r="30" spans="1:6" s="249" customFormat="1" ht="20.25" customHeight="1" x14ac:dyDescent="0.2">
      <c r="A30" s="256">
        <v>18</v>
      </c>
      <c r="B30" s="257" t="s">
        <v>241</v>
      </c>
      <c r="C30" s="258">
        <f>24+1+4</f>
        <v>29</v>
      </c>
      <c r="D30" s="258">
        <f t="shared" si="1"/>
        <v>356</v>
      </c>
      <c r="E30" s="331">
        <f t="shared" si="2"/>
        <v>0.08</v>
      </c>
      <c r="F30" s="249" t="s">
        <v>242</v>
      </c>
    </row>
    <row r="31" spans="1:6" s="249" customFormat="1" ht="20.25" customHeight="1" x14ac:dyDescent="0.2">
      <c r="A31" s="256">
        <v>19</v>
      </c>
      <c r="B31" s="257" t="s">
        <v>243</v>
      </c>
      <c r="C31" s="258">
        <f>24+1+14</f>
        <v>39</v>
      </c>
      <c r="D31" s="258">
        <f t="shared" si="1"/>
        <v>356</v>
      </c>
      <c r="E31" s="331">
        <f t="shared" si="2"/>
        <v>0.11</v>
      </c>
      <c r="F31" s="249" t="s">
        <v>244</v>
      </c>
    </row>
    <row r="32" spans="1:6" s="249" customFormat="1" ht="20.25" customHeight="1" x14ac:dyDescent="0.2">
      <c r="A32" s="256">
        <v>20</v>
      </c>
      <c r="B32" s="257" t="s">
        <v>243</v>
      </c>
      <c r="C32" s="258">
        <f>24+1+14</f>
        <v>39</v>
      </c>
      <c r="D32" s="258">
        <f t="shared" si="1"/>
        <v>356</v>
      </c>
      <c r="E32" s="331">
        <f t="shared" si="2"/>
        <v>0.11</v>
      </c>
      <c r="F32" s="249" t="s">
        <v>245</v>
      </c>
    </row>
    <row r="33" spans="1:6" s="249" customFormat="1" ht="33" x14ac:dyDescent="0.2">
      <c r="A33" s="256">
        <v>21</v>
      </c>
      <c r="B33" s="257" t="s">
        <v>246</v>
      </c>
      <c r="C33" s="258">
        <f>24+1+4</f>
        <v>29</v>
      </c>
      <c r="D33" s="258">
        <f t="shared" si="1"/>
        <v>356</v>
      </c>
      <c r="E33" s="331">
        <f t="shared" si="2"/>
        <v>0.08</v>
      </c>
      <c r="F33" s="249" t="s">
        <v>247</v>
      </c>
    </row>
    <row r="34" spans="1:6" s="249" customFormat="1" ht="33" x14ac:dyDescent="0.2">
      <c r="A34" s="256">
        <v>22</v>
      </c>
      <c r="B34" s="257" t="s">
        <v>248</v>
      </c>
      <c r="C34" s="258">
        <f>24+1+7</f>
        <v>32</v>
      </c>
      <c r="D34" s="258">
        <f t="shared" si="1"/>
        <v>356</v>
      </c>
      <c r="E34" s="331">
        <f t="shared" si="2"/>
        <v>0.09</v>
      </c>
      <c r="F34" s="249" t="s">
        <v>249</v>
      </c>
    </row>
    <row r="35" spans="1:6" s="255" customFormat="1" ht="17.25" x14ac:dyDescent="0.2">
      <c r="A35" s="738" t="s">
        <v>250</v>
      </c>
      <c r="B35" s="739"/>
      <c r="C35" s="739"/>
      <c r="D35" s="739"/>
      <c r="E35" s="331"/>
    </row>
    <row r="36" spans="1:6" s="264" customFormat="1" ht="21.75" hidden="1" customHeight="1" x14ac:dyDescent="0.2">
      <c r="A36" s="261">
        <v>23</v>
      </c>
      <c r="B36" s="262" t="s">
        <v>251</v>
      </c>
      <c r="C36" s="263">
        <f>24+1+6</f>
        <v>31</v>
      </c>
      <c r="D36" s="258">
        <f t="shared" si="1"/>
        <v>356</v>
      </c>
      <c r="E36" s="331">
        <f t="shared" si="2"/>
        <v>0.09</v>
      </c>
      <c r="F36" s="264" t="s">
        <v>252</v>
      </c>
    </row>
    <row r="37" spans="1:6" s="249" customFormat="1" ht="33" x14ac:dyDescent="0.2">
      <c r="A37" s="256">
        <v>24</v>
      </c>
      <c r="B37" s="257" t="s">
        <v>253</v>
      </c>
      <c r="C37" s="258">
        <f>24+1+4</f>
        <v>29</v>
      </c>
      <c r="D37" s="258">
        <f t="shared" si="1"/>
        <v>356</v>
      </c>
      <c r="E37" s="331">
        <f t="shared" si="2"/>
        <v>0.08</v>
      </c>
      <c r="F37" s="249" t="s">
        <v>254</v>
      </c>
    </row>
    <row r="38" spans="1:6" s="249" customFormat="1" ht="21.75" customHeight="1" x14ac:dyDescent="0.2">
      <c r="A38" s="256">
        <v>25</v>
      </c>
      <c r="B38" s="257" t="s">
        <v>255</v>
      </c>
      <c r="C38" s="258">
        <f>24+1+0</f>
        <v>25</v>
      </c>
      <c r="D38" s="258">
        <f t="shared" si="1"/>
        <v>356</v>
      </c>
      <c r="E38" s="331">
        <f t="shared" si="2"/>
        <v>7.0000000000000007E-2</v>
      </c>
      <c r="F38" s="249" t="s">
        <v>256</v>
      </c>
    </row>
    <row r="39" spans="1:6" s="249" customFormat="1" ht="21.75" customHeight="1" x14ac:dyDescent="0.2">
      <c r="A39" s="256">
        <v>26</v>
      </c>
      <c r="B39" s="257" t="s">
        <v>255</v>
      </c>
      <c r="C39" s="258">
        <f>24+1+4</f>
        <v>29</v>
      </c>
      <c r="D39" s="258">
        <f t="shared" si="1"/>
        <v>356</v>
      </c>
      <c r="E39" s="331">
        <f t="shared" si="2"/>
        <v>0.08</v>
      </c>
      <c r="F39" s="249" t="s">
        <v>257</v>
      </c>
    </row>
    <row r="40" spans="1:6" s="249" customFormat="1" ht="33" x14ac:dyDescent="0.2">
      <c r="A40" s="265">
        <v>27</v>
      </c>
      <c r="B40" s="266" t="s">
        <v>28</v>
      </c>
      <c r="C40" s="267">
        <f>24+1+7</f>
        <v>32</v>
      </c>
      <c r="D40" s="267">
        <f t="shared" si="1"/>
        <v>356</v>
      </c>
      <c r="E40" s="332">
        <f t="shared" si="2"/>
        <v>0.09</v>
      </c>
      <c r="F40" s="249" t="s">
        <v>258</v>
      </c>
    </row>
    <row r="43" spans="1:6" s="607" customFormat="1" ht="15" x14ac:dyDescent="0.25">
      <c r="A43" s="737" t="s">
        <v>25</v>
      </c>
      <c r="B43" s="737"/>
      <c r="C43" s="606" t="s">
        <v>34</v>
      </c>
    </row>
    <row r="44" spans="1:6" s="607" customFormat="1" ht="15" x14ac:dyDescent="0.25">
      <c r="A44" s="608"/>
      <c r="B44" s="608"/>
      <c r="C44" s="606"/>
    </row>
    <row r="45" spans="1:6" s="607" customFormat="1" ht="15" x14ac:dyDescent="0.25">
      <c r="A45" s="608" t="s">
        <v>39</v>
      </c>
      <c r="B45" s="608"/>
      <c r="C45" s="606" t="s">
        <v>32</v>
      </c>
    </row>
    <row r="46" spans="1:6" s="607" customFormat="1" ht="15" x14ac:dyDescent="0.25">
      <c r="A46" s="608"/>
      <c r="B46" s="608"/>
      <c r="C46" s="606"/>
    </row>
    <row r="47" spans="1:6" s="607" customFormat="1" ht="15" x14ac:dyDescent="0.25">
      <c r="A47" s="737" t="s">
        <v>22</v>
      </c>
      <c r="B47" s="737"/>
      <c r="C47" s="606" t="s">
        <v>33</v>
      </c>
    </row>
  </sheetData>
  <mergeCells count="12">
    <mergeCell ref="A22:D22"/>
    <mergeCell ref="B1:D1"/>
    <mergeCell ref="A2:A3"/>
    <mergeCell ref="A4:D4"/>
    <mergeCell ref="A11:D11"/>
    <mergeCell ref="A17:D17"/>
    <mergeCell ref="A43:B43"/>
    <mergeCell ref="A47:B47"/>
    <mergeCell ref="A24:D24"/>
    <mergeCell ref="A26:D26"/>
    <mergeCell ref="A29:D29"/>
    <mergeCell ref="A35:D35"/>
  </mergeCells>
  <pageMargins left="1.299212598425197" right="0.70866141732283472" top="0.74803149606299213" bottom="0.74803149606299213" header="0.31496062992125984" footer="0.31496062992125984"/>
  <pageSetup paperSize="9" scale="65" fitToHeight="0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"/>
  <sheetViews>
    <sheetView workbookViewId="0">
      <selection activeCell="K30" sqref="K29:K30"/>
    </sheetView>
  </sheetViews>
  <sheetFormatPr defaultRowHeight="12.75" x14ac:dyDescent="0.2"/>
  <cols>
    <col min="1" max="1" width="28.85546875" style="339" customWidth="1"/>
    <col min="2" max="2" width="22.7109375" style="339" customWidth="1"/>
    <col min="3" max="3" width="18.5703125" style="339" customWidth="1"/>
    <col min="4" max="4" width="18.7109375" style="339" hidden="1" customWidth="1"/>
    <col min="5" max="5" width="9.140625" style="339" hidden="1" customWidth="1"/>
    <col min="6" max="6" width="16.85546875" style="339" customWidth="1"/>
    <col min="7" max="16384" width="9.140625" style="339"/>
  </cols>
  <sheetData>
    <row r="1" spans="1:6" ht="55.5" customHeight="1" x14ac:dyDescent="0.2">
      <c r="A1" s="751" t="s">
        <v>415</v>
      </c>
      <c r="B1" s="752"/>
      <c r="C1" s="752"/>
      <c r="D1" s="752"/>
      <c r="E1" s="752"/>
      <c r="F1" s="752"/>
    </row>
    <row r="2" spans="1:6" ht="102" x14ac:dyDescent="0.2">
      <c r="A2" s="634" t="s">
        <v>316</v>
      </c>
      <c r="B2" s="635" t="s">
        <v>317</v>
      </c>
      <c r="C2" s="635" t="s">
        <v>318</v>
      </c>
      <c r="D2" s="747" t="s">
        <v>319</v>
      </c>
      <c r="E2" s="747"/>
      <c r="F2" s="748"/>
    </row>
    <row r="3" spans="1:6" x14ac:dyDescent="0.2">
      <c r="A3" s="632">
        <v>1</v>
      </c>
      <c r="B3" s="633">
        <v>2</v>
      </c>
      <c r="C3" s="633">
        <v>3</v>
      </c>
      <c r="D3" s="749">
        <v>4</v>
      </c>
      <c r="E3" s="749"/>
      <c r="F3" s="750"/>
    </row>
    <row r="4" spans="1:6" hidden="1" x14ac:dyDescent="0.2">
      <c r="A4" s="636"/>
      <c r="B4" s="637">
        <v>0.34</v>
      </c>
      <c r="C4" s="638">
        <v>1E-3</v>
      </c>
      <c r="D4" s="639">
        <v>0.09</v>
      </c>
      <c r="E4" s="639">
        <v>0.06</v>
      </c>
      <c r="F4" s="640">
        <v>0.04</v>
      </c>
    </row>
    <row r="5" spans="1:6" x14ac:dyDescent="0.2">
      <c r="A5" s="641" t="s">
        <v>161</v>
      </c>
      <c r="B5" s="642">
        <v>0.34</v>
      </c>
      <c r="C5" s="643">
        <v>8.9999999999999998E-4</v>
      </c>
      <c r="D5" s="642"/>
      <c r="E5" s="642"/>
      <c r="F5" s="644">
        <v>0.04</v>
      </c>
    </row>
    <row r="6" spans="1:6" x14ac:dyDescent="0.2">
      <c r="A6" s="626" t="s">
        <v>27</v>
      </c>
      <c r="B6" s="623">
        <v>0.34</v>
      </c>
      <c r="C6" s="624">
        <v>8.9999999999999998E-4</v>
      </c>
      <c r="D6" s="623"/>
      <c r="E6" s="623"/>
      <c r="F6" s="625">
        <v>0.04</v>
      </c>
    </row>
    <row r="7" spans="1:6" ht="13.5" hidden="1" customHeight="1" x14ac:dyDescent="0.2">
      <c r="A7" s="626" t="s">
        <v>27</v>
      </c>
      <c r="B7" s="623">
        <v>0.34</v>
      </c>
      <c r="C7" s="624">
        <v>8.9999999999999998E-4</v>
      </c>
      <c r="D7" s="623"/>
      <c r="E7" s="623"/>
      <c r="F7" s="625">
        <v>0.04</v>
      </c>
    </row>
    <row r="8" spans="1:6" x14ac:dyDescent="0.2">
      <c r="A8" s="627" t="s">
        <v>40</v>
      </c>
      <c r="B8" s="623">
        <v>0.34</v>
      </c>
      <c r="C8" s="624">
        <v>8.9999999999999998E-4</v>
      </c>
      <c r="D8" s="623"/>
      <c r="E8" s="623"/>
      <c r="F8" s="625">
        <v>0.04</v>
      </c>
    </row>
    <row r="9" spans="1:6" hidden="1" x14ac:dyDescent="0.2">
      <c r="A9" s="626" t="s">
        <v>27</v>
      </c>
      <c r="B9" s="623">
        <v>0.34</v>
      </c>
      <c r="C9" s="624">
        <v>8.9999999999999998E-4</v>
      </c>
      <c r="D9" s="623"/>
      <c r="E9" s="623"/>
      <c r="F9" s="625">
        <v>0.06</v>
      </c>
    </row>
    <row r="10" spans="1:6" x14ac:dyDescent="0.2">
      <c r="A10" s="626" t="s">
        <v>212</v>
      </c>
      <c r="B10" s="623">
        <v>0.34</v>
      </c>
      <c r="C10" s="624">
        <v>8.9999999999999998E-4</v>
      </c>
      <c r="D10" s="623"/>
      <c r="E10" s="623"/>
      <c r="F10" s="625">
        <v>0.04</v>
      </c>
    </row>
    <row r="11" spans="1:6" x14ac:dyDescent="0.2">
      <c r="A11" s="626" t="s">
        <v>215</v>
      </c>
      <c r="B11" s="623">
        <v>0.34</v>
      </c>
      <c r="C11" s="624">
        <v>8.9999999999999998E-4</v>
      </c>
      <c r="D11" s="623"/>
      <c r="E11" s="623"/>
      <c r="F11" s="625">
        <v>0</v>
      </c>
    </row>
    <row r="12" spans="1:6" x14ac:dyDescent="0.2">
      <c r="A12" s="626" t="s">
        <v>416</v>
      </c>
      <c r="B12" s="623">
        <v>0.34</v>
      </c>
      <c r="C12" s="624">
        <v>8.9999999999999998E-4</v>
      </c>
      <c r="D12" s="623"/>
      <c r="E12" s="623"/>
      <c r="F12" s="625">
        <v>0</v>
      </c>
    </row>
    <row r="13" spans="1:6" x14ac:dyDescent="0.2">
      <c r="A13" s="626" t="s">
        <v>219</v>
      </c>
      <c r="B13" s="623">
        <v>0.34</v>
      </c>
      <c r="C13" s="624">
        <v>8.9999999999999998E-4</v>
      </c>
      <c r="D13" s="623"/>
      <c r="E13" s="623"/>
      <c r="F13" s="625">
        <v>0</v>
      </c>
    </row>
    <row r="14" spans="1:6" x14ac:dyDescent="0.2">
      <c r="A14" s="626" t="s">
        <v>221</v>
      </c>
      <c r="B14" s="623">
        <v>0.34</v>
      </c>
      <c r="C14" s="624">
        <v>8.9999999999999998E-4</v>
      </c>
      <c r="D14" s="623"/>
      <c r="E14" s="623"/>
      <c r="F14" s="625">
        <v>0</v>
      </c>
    </row>
    <row r="15" spans="1:6" x14ac:dyDescent="0.2">
      <c r="A15" s="626" t="s">
        <v>404</v>
      </c>
      <c r="B15" s="623">
        <v>0.34</v>
      </c>
      <c r="C15" s="624">
        <v>8.9999999999999998E-4</v>
      </c>
      <c r="D15" s="623"/>
      <c r="E15" s="623"/>
      <c r="F15" s="625">
        <v>0</v>
      </c>
    </row>
    <row r="16" spans="1:6" ht="14.25" customHeight="1" x14ac:dyDescent="0.2">
      <c r="A16" s="626" t="s">
        <v>224</v>
      </c>
      <c r="B16" s="623">
        <v>0.34</v>
      </c>
      <c r="C16" s="624">
        <v>8.9999999999999998E-4</v>
      </c>
      <c r="D16" s="623"/>
      <c r="E16" s="623"/>
      <c r="F16" s="625">
        <v>0.04</v>
      </c>
    </row>
    <row r="17" spans="1:6" hidden="1" x14ac:dyDescent="0.2">
      <c r="A17" s="626" t="s">
        <v>224</v>
      </c>
      <c r="B17" s="623">
        <v>0.34</v>
      </c>
      <c r="C17" s="624">
        <v>8.9999999999999998E-4</v>
      </c>
      <c r="D17" s="623"/>
      <c r="E17" s="623"/>
      <c r="F17" s="625">
        <v>0.04</v>
      </c>
    </row>
    <row r="18" spans="1:6" hidden="1" x14ac:dyDescent="0.2">
      <c r="A18" s="626" t="s">
        <v>224</v>
      </c>
      <c r="B18" s="623">
        <v>0.34</v>
      </c>
      <c r="C18" s="624">
        <v>8.9999999999999998E-4</v>
      </c>
      <c r="D18" s="623"/>
      <c r="E18" s="623"/>
      <c r="F18" s="625">
        <v>0.04</v>
      </c>
    </row>
    <row r="19" spans="1:6" x14ac:dyDescent="0.2">
      <c r="A19" s="626" t="s">
        <v>228</v>
      </c>
      <c r="B19" s="623">
        <v>0.34</v>
      </c>
      <c r="C19" s="624">
        <v>8.9999999999999998E-4</v>
      </c>
      <c r="D19" s="623"/>
      <c r="E19" s="623"/>
      <c r="F19" s="625">
        <v>0</v>
      </c>
    </row>
    <row r="20" spans="1:6" x14ac:dyDescent="0.2">
      <c r="A20" s="626" t="s">
        <v>231</v>
      </c>
      <c r="B20" s="623">
        <v>0.34</v>
      </c>
      <c r="C20" s="624">
        <v>8.9999999999999998E-4</v>
      </c>
      <c r="D20" s="623"/>
      <c r="E20" s="623"/>
      <c r="F20" s="625">
        <v>0.04</v>
      </c>
    </row>
    <row r="21" spans="1:6" x14ac:dyDescent="0.2">
      <c r="A21" s="626" t="s">
        <v>234</v>
      </c>
      <c r="B21" s="623">
        <v>0.34</v>
      </c>
      <c r="C21" s="624">
        <v>8.9999999999999998E-4</v>
      </c>
      <c r="D21" s="623"/>
      <c r="E21" s="623"/>
      <c r="F21" s="625">
        <v>0.04</v>
      </c>
    </row>
    <row r="22" spans="1:6" hidden="1" x14ac:dyDescent="0.2">
      <c r="A22" s="626" t="s">
        <v>27</v>
      </c>
      <c r="B22" s="623">
        <v>0.34</v>
      </c>
      <c r="C22" s="624">
        <v>8.9999999999999998E-4</v>
      </c>
      <c r="D22" s="623"/>
      <c r="E22" s="623"/>
      <c r="F22" s="625">
        <v>0.04</v>
      </c>
    </row>
    <row r="23" spans="1:6" x14ac:dyDescent="0.2">
      <c r="A23" s="626" t="s">
        <v>238</v>
      </c>
      <c r="B23" s="623">
        <v>0.34</v>
      </c>
      <c r="C23" s="624">
        <v>8.9999999999999998E-4</v>
      </c>
      <c r="D23" s="623"/>
      <c r="E23" s="623"/>
      <c r="F23" s="625">
        <v>0.04</v>
      </c>
    </row>
    <row r="24" spans="1:6" x14ac:dyDescent="0.2">
      <c r="A24" s="626" t="s">
        <v>241</v>
      </c>
      <c r="B24" s="623">
        <v>0.34</v>
      </c>
      <c r="C24" s="624">
        <v>8.9999999999999998E-4</v>
      </c>
      <c r="D24" s="623"/>
      <c r="E24" s="623"/>
      <c r="F24" s="625">
        <v>0.04</v>
      </c>
    </row>
    <row r="25" spans="1:6" ht="38.25" x14ac:dyDescent="0.2">
      <c r="A25" s="627" t="s">
        <v>411</v>
      </c>
      <c r="B25" s="623">
        <v>0.34</v>
      </c>
      <c r="C25" s="624">
        <v>8.9999999999999998E-4</v>
      </c>
      <c r="D25" s="623"/>
      <c r="E25" s="623"/>
      <c r="F25" s="625">
        <v>0.06</v>
      </c>
    </row>
    <row r="26" spans="1:6" ht="25.5" x14ac:dyDescent="0.2">
      <c r="A26" s="627" t="s">
        <v>412</v>
      </c>
      <c r="B26" s="623">
        <v>0.34</v>
      </c>
      <c r="C26" s="624">
        <v>8.9999999999999998E-4</v>
      </c>
      <c r="D26" s="623"/>
      <c r="E26" s="623"/>
      <c r="F26" s="625">
        <v>0.06</v>
      </c>
    </row>
    <row r="27" spans="1:6" ht="25.5" x14ac:dyDescent="0.2">
      <c r="A27" s="626" t="s">
        <v>246</v>
      </c>
      <c r="B27" s="623">
        <v>0.34</v>
      </c>
      <c r="C27" s="624">
        <v>8.9999999999999998E-4</v>
      </c>
      <c r="D27" s="623"/>
      <c r="E27" s="623"/>
      <c r="F27" s="625">
        <v>0</v>
      </c>
    </row>
    <row r="28" spans="1:6" x14ac:dyDescent="0.2">
      <c r="A28" s="626" t="s">
        <v>248</v>
      </c>
      <c r="B28" s="623">
        <v>0.34</v>
      </c>
      <c r="C28" s="624">
        <v>8.9999999999999998E-4</v>
      </c>
      <c r="D28" s="623"/>
      <c r="E28" s="623"/>
      <c r="F28" s="625">
        <v>0</v>
      </c>
    </row>
    <row r="29" spans="1:6" x14ac:dyDescent="0.2">
      <c r="A29" s="626" t="s">
        <v>253</v>
      </c>
      <c r="B29" s="623">
        <v>0.34</v>
      </c>
      <c r="C29" s="624">
        <v>8.9999999999999998E-4</v>
      </c>
      <c r="D29" s="623"/>
      <c r="E29" s="623"/>
      <c r="F29" s="625">
        <v>0</v>
      </c>
    </row>
    <row r="30" spans="1:6" ht="38.25" x14ac:dyDescent="0.2">
      <c r="A30" s="627" t="s">
        <v>408</v>
      </c>
      <c r="B30" s="623">
        <v>0.34</v>
      </c>
      <c r="C30" s="624">
        <v>8.9999999999999998E-4</v>
      </c>
      <c r="D30" s="623"/>
      <c r="E30" s="623"/>
      <c r="F30" s="625">
        <v>0</v>
      </c>
    </row>
    <row r="31" spans="1:6" ht="51" x14ac:dyDescent="0.2">
      <c r="A31" s="627" t="s">
        <v>409</v>
      </c>
      <c r="B31" s="623">
        <v>0.34</v>
      </c>
      <c r="C31" s="624">
        <v>8.9999999999999998E-4</v>
      </c>
      <c r="D31" s="623"/>
      <c r="E31" s="623"/>
      <c r="F31" s="625">
        <v>0</v>
      </c>
    </row>
    <row r="32" spans="1:6" ht="38.25" x14ac:dyDescent="0.2">
      <c r="A32" s="628" t="s">
        <v>410</v>
      </c>
      <c r="B32" s="629">
        <v>0.34</v>
      </c>
      <c r="C32" s="630">
        <v>8.9999999999999998E-4</v>
      </c>
      <c r="D32" s="629"/>
      <c r="E32" s="629"/>
      <c r="F32" s="631">
        <v>0.04</v>
      </c>
    </row>
    <row r="33" spans="1:6" x14ac:dyDescent="0.2">
      <c r="A33" s="619"/>
      <c r="B33" s="620"/>
      <c r="C33" s="621"/>
      <c r="D33" s="622"/>
      <c r="E33" s="622"/>
      <c r="F33" s="622"/>
    </row>
    <row r="34" spans="1:6" s="609" customFormat="1" x14ac:dyDescent="0.2">
      <c r="A34" s="753" t="s">
        <v>25</v>
      </c>
      <c r="B34" s="753"/>
      <c r="C34" s="495" t="s">
        <v>34</v>
      </c>
    </row>
    <row r="35" spans="1:6" s="609" customFormat="1" x14ac:dyDescent="0.2">
      <c r="A35" s="610"/>
      <c r="B35" s="610"/>
      <c r="C35" s="495"/>
    </row>
    <row r="36" spans="1:6" s="609" customFormat="1" x14ac:dyDescent="0.2">
      <c r="A36" s="610" t="s">
        <v>39</v>
      </c>
      <c r="B36" s="610"/>
      <c r="C36" s="495" t="s">
        <v>32</v>
      </c>
    </row>
    <row r="37" spans="1:6" s="609" customFormat="1" x14ac:dyDescent="0.2">
      <c r="A37" s="610"/>
      <c r="B37" s="610"/>
      <c r="C37" s="495"/>
    </row>
    <row r="38" spans="1:6" s="609" customFormat="1" x14ac:dyDescent="0.2">
      <c r="A38" s="753" t="s">
        <v>22</v>
      </c>
      <c r="B38" s="753"/>
      <c r="C38" s="495" t="s">
        <v>33</v>
      </c>
    </row>
  </sheetData>
  <mergeCells count="5">
    <mergeCell ref="D2:F2"/>
    <mergeCell ref="D3:F3"/>
    <mergeCell ref="A1:F1"/>
    <mergeCell ref="A34:B34"/>
    <mergeCell ref="A38:B38"/>
  </mergeCells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78"/>
  <sheetViews>
    <sheetView topLeftCell="A19" zoomScale="85" zoomScaleNormal="85" zoomScaleSheetLayoutView="110" workbookViewId="0">
      <selection activeCell="H18" sqref="H18"/>
    </sheetView>
  </sheetViews>
  <sheetFormatPr defaultRowHeight="12.75" x14ac:dyDescent="0.2"/>
  <cols>
    <col min="1" max="1" width="5.140625" style="183" customWidth="1"/>
    <col min="2" max="2" width="53.5703125" style="183" customWidth="1"/>
    <col min="3" max="3" width="15.5703125" style="183" customWidth="1"/>
    <col min="4" max="4" width="22.42578125" style="183" customWidth="1"/>
    <col min="5" max="5" width="3.7109375" style="186" customWidth="1"/>
    <col min="6" max="6" width="22.5703125" style="208" hidden="1" customWidth="1"/>
    <col min="7" max="7" width="18" style="208" hidden="1" customWidth="1"/>
    <col min="8" max="8" width="9.28515625" style="183" hidden="1" customWidth="1"/>
    <col min="9" max="9" width="1.85546875" style="183" hidden="1" customWidth="1"/>
    <col min="10" max="11" width="10.140625" style="129" hidden="1" customWidth="1"/>
    <col min="12" max="12" width="14.42578125" style="120" hidden="1" customWidth="1"/>
    <col min="13" max="13" width="18.5703125" style="121" customWidth="1"/>
    <col min="14" max="14" width="11.7109375" style="121" customWidth="1"/>
    <col min="15" max="15" width="8" style="121" customWidth="1"/>
    <col min="16" max="17" width="8" style="186" customWidth="1"/>
    <col min="18" max="16384" width="9.140625" style="186"/>
  </cols>
  <sheetData>
    <row r="1" spans="1:15" s="172" customFormat="1" ht="102.75" customHeight="1" x14ac:dyDescent="0.2">
      <c r="A1" s="169"/>
      <c r="B1" s="170"/>
      <c r="C1" s="756" t="s">
        <v>68</v>
      </c>
      <c r="D1" s="757"/>
      <c r="E1" s="171"/>
      <c r="F1" s="112"/>
      <c r="G1" s="112"/>
      <c r="H1" s="112"/>
      <c r="I1" s="112"/>
      <c r="J1" s="112"/>
      <c r="K1" s="112"/>
      <c r="L1" s="113"/>
      <c r="M1" s="114"/>
      <c r="N1" s="114"/>
      <c r="O1" s="114"/>
    </row>
    <row r="2" spans="1:15" s="175" customFormat="1" ht="18.75" customHeight="1" x14ac:dyDescent="0.3">
      <c r="A2" s="173"/>
      <c r="B2" s="173"/>
      <c r="C2" s="758" t="s">
        <v>42</v>
      </c>
      <c r="D2" s="758"/>
      <c r="E2" s="174"/>
      <c r="F2" s="115"/>
      <c r="G2" s="115"/>
      <c r="H2" s="115"/>
      <c r="I2" s="115"/>
      <c r="J2" s="115"/>
      <c r="K2" s="115"/>
      <c r="L2" s="116"/>
      <c r="M2" s="106"/>
      <c r="N2" s="106"/>
      <c r="O2" s="106"/>
    </row>
    <row r="3" spans="1:15" s="175" customFormat="1" ht="25.5" customHeight="1" x14ac:dyDescent="0.3">
      <c r="A3" s="173"/>
      <c r="B3" s="173"/>
      <c r="C3" s="759" t="s">
        <v>148</v>
      </c>
      <c r="D3" s="759"/>
      <c r="E3" s="174"/>
      <c r="F3" s="115"/>
      <c r="G3" s="115"/>
      <c r="H3" s="115"/>
      <c r="I3" s="115"/>
      <c r="J3" s="115"/>
      <c r="K3" s="115"/>
      <c r="L3" s="116"/>
      <c r="M3" s="106"/>
      <c r="N3" s="106"/>
      <c r="O3" s="106"/>
    </row>
    <row r="4" spans="1:15" s="177" customFormat="1" ht="23.25" customHeight="1" x14ac:dyDescent="0.3">
      <c r="A4" s="176"/>
      <c r="B4" s="176"/>
      <c r="C4" s="176"/>
      <c r="D4" s="176"/>
      <c r="F4" s="117"/>
      <c r="G4" s="117"/>
      <c r="H4" s="117"/>
      <c r="I4" s="117"/>
      <c r="J4" s="117"/>
      <c r="K4" s="117"/>
      <c r="L4" s="118"/>
      <c r="M4" s="119"/>
      <c r="N4" s="119"/>
      <c r="O4" s="119"/>
    </row>
    <row r="5" spans="1:15" s="177" customFormat="1" ht="15.75" customHeight="1" x14ac:dyDescent="0.3">
      <c r="A5" s="176"/>
      <c r="B5" s="176"/>
      <c r="C5" s="176"/>
      <c r="D5" s="176"/>
      <c r="F5" s="117"/>
      <c r="G5" s="117"/>
      <c r="H5" s="117"/>
      <c r="I5" s="117"/>
      <c r="J5" s="117"/>
      <c r="K5" s="117"/>
      <c r="L5" s="118"/>
      <c r="M5" s="119"/>
      <c r="N5" s="119"/>
      <c r="O5" s="119"/>
    </row>
    <row r="6" spans="1:15" s="177" customFormat="1" ht="19.5" customHeight="1" x14ac:dyDescent="0.3">
      <c r="A6" s="176"/>
      <c r="B6" s="176"/>
      <c r="C6" s="176"/>
      <c r="D6" s="176"/>
      <c r="F6" s="117"/>
      <c r="G6" s="117"/>
      <c r="H6" s="117"/>
      <c r="I6" s="117"/>
      <c r="J6" s="117"/>
      <c r="K6" s="117"/>
      <c r="L6" s="118"/>
      <c r="M6" s="119"/>
      <c r="N6" s="119"/>
      <c r="O6" s="119"/>
    </row>
    <row r="7" spans="1:15" s="177" customFormat="1" ht="63.75" customHeight="1" x14ac:dyDescent="0.3">
      <c r="A7" s="760" t="s">
        <v>149</v>
      </c>
      <c r="B7" s="760"/>
      <c r="C7" s="760"/>
      <c r="D7" s="760"/>
      <c r="F7" s="117"/>
      <c r="G7" s="117"/>
      <c r="H7" s="117"/>
      <c r="I7" s="117"/>
      <c r="J7" s="117"/>
      <c r="K7" s="117"/>
      <c r="L7" s="118"/>
      <c r="M7" s="119"/>
      <c r="N7" s="119"/>
      <c r="O7" s="119"/>
    </row>
    <row r="8" spans="1:15" s="177" customFormat="1" ht="13.5" customHeight="1" x14ac:dyDescent="0.3">
      <c r="A8" s="178"/>
      <c r="B8" s="178"/>
      <c r="C8" s="178"/>
      <c r="D8" s="178"/>
      <c r="F8" s="117"/>
      <c r="G8" s="117"/>
      <c r="H8" s="117"/>
      <c r="I8" s="117"/>
      <c r="J8" s="117"/>
      <c r="K8" s="117"/>
      <c r="L8" s="118"/>
      <c r="M8" s="119"/>
      <c r="N8" s="119"/>
      <c r="O8" s="119"/>
    </row>
    <row r="9" spans="1:15" ht="39.75" customHeight="1" x14ac:dyDescent="0.25">
      <c r="A9" s="179" t="s">
        <v>69</v>
      </c>
      <c r="B9" s="761" t="s">
        <v>70</v>
      </c>
      <c r="C9" s="762"/>
      <c r="D9" s="179" t="s">
        <v>71</v>
      </c>
      <c r="E9" s="180"/>
      <c r="F9" s="181" t="s">
        <v>106</v>
      </c>
      <c r="G9" s="181" t="s">
        <v>107</v>
      </c>
      <c r="H9" s="182" t="s">
        <v>108</v>
      </c>
      <c r="J9" s="184" t="s">
        <v>150</v>
      </c>
      <c r="K9" s="184" t="s">
        <v>109</v>
      </c>
      <c r="L9" s="185" t="s">
        <v>151</v>
      </c>
    </row>
    <row r="10" spans="1:15" ht="34.5" customHeight="1" x14ac:dyDescent="0.25">
      <c r="A10" s="122" t="s">
        <v>1</v>
      </c>
      <c r="B10" s="754" t="s">
        <v>110</v>
      </c>
      <c r="C10" s="755"/>
      <c r="D10" s="123">
        <f>SUM(F10:H10)</f>
        <v>8873303.2700000014</v>
      </c>
      <c r="E10" s="124"/>
      <c r="F10" s="125">
        <f>'[7]бюджет +внебюджет'!L195</f>
        <v>8873303.2700000014</v>
      </c>
      <c r="G10" s="126">
        <v>0</v>
      </c>
      <c r="H10" s="127">
        <v>0</v>
      </c>
      <c r="J10" s="128">
        <f>ROUND(D10/D$37,4)</f>
        <v>0.41839999999999999</v>
      </c>
      <c r="K10" s="128">
        <v>0.44500000000000001</v>
      </c>
      <c r="M10" s="129">
        <f>D10/D37</f>
        <v>0.41842925810362508</v>
      </c>
    </row>
    <row r="11" spans="1:15" ht="16.5" x14ac:dyDescent="0.25">
      <c r="A11" s="122" t="s">
        <v>2</v>
      </c>
      <c r="B11" s="754" t="s">
        <v>111</v>
      </c>
      <c r="C11" s="755"/>
      <c r="D11" s="123"/>
      <c r="E11" s="124"/>
      <c r="F11" s="130"/>
      <c r="G11" s="131"/>
      <c r="H11" s="127"/>
      <c r="J11" s="128">
        <f t="shared" ref="J11:J35" si="0">ROUND(D11/D$37,4)</f>
        <v>0</v>
      </c>
      <c r="K11" s="128">
        <v>0</v>
      </c>
    </row>
    <row r="12" spans="1:15" ht="103.5" customHeight="1" x14ac:dyDescent="0.25">
      <c r="A12" s="122" t="s">
        <v>90</v>
      </c>
      <c r="B12" s="763" t="s">
        <v>112</v>
      </c>
      <c r="C12" s="764"/>
      <c r="D12" s="123">
        <f t="shared" ref="D12:D17" si="1">SUM(F12:H12)</f>
        <v>3004658.11</v>
      </c>
      <c r="E12" s="124"/>
      <c r="F12" s="132">
        <f>ROUND(F10*34%,2)-F15-G15</f>
        <v>3004658.11</v>
      </c>
      <c r="G12" s="133">
        <v>0</v>
      </c>
      <c r="H12" s="134">
        <f>ROUND(H10*34%,1)</f>
        <v>0</v>
      </c>
      <c r="J12" s="128">
        <f>ROUND(D12/D$37,4)</f>
        <v>0.14169999999999999</v>
      </c>
      <c r="K12" s="128">
        <v>0.15129999999999999</v>
      </c>
      <c r="M12" s="129">
        <f>D12/D37</f>
        <v>0.14168757964950521</v>
      </c>
    </row>
    <row r="13" spans="1:15" ht="51" customHeight="1" x14ac:dyDescent="0.25">
      <c r="A13" s="122" t="s">
        <v>91</v>
      </c>
      <c r="B13" s="763" t="s">
        <v>113</v>
      </c>
      <c r="C13" s="764"/>
      <c r="D13" s="123">
        <f t="shared" si="1"/>
        <v>8873.2999999999993</v>
      </c>
      <c r="E13" s="124"/>
      <c r="F13" s="132">
        <f>ROUND(F10*0.1%,2)</f>
        <v>8873.2999999999993</v>
      </c>
      <c r="G13" s="133">
        <v>0</v>
      </c>
      <c r="H13" s="134">
        <f>ROUND(H10*0.6%,1)</f>
        <v>0</v>
      </c>
      <c r="J13" s="135">
        <f t="shared" si="0"/>
        <v>4.0000000000000002E-4</v>
      </c>
      <c r="K13" s="128">
        <v>4.0000000000000002E-4</v>
      </c>
      <c r="M13" s="136">
        <f>D13/D37</f>
        <v>4.1842910390359005E-4</v>
      </c>
    </row>
    <row r="14" spans="1:15" ht="34.5" customHeight="1" x14ac:dyDescent="0.25">
      <c r="A14" s="122" t="s">
        <v>92</v>
      </c>
      <c r="B14" s="763" t="s">
        <v>114</v>
      </c>
      <c r="C14" s="764"/>
      <c r="D14" s="123">
        <f t="shared" si="1"/>
        <v>16593.080000000002</v>
      </c>
      <c r="E14" s="137"/>
      <c r="F14" s="132">
        <f>ROUND(F10*0.187%,2)</f>
        <v>16593.080000000002</v>
      </c>
      <c r="G14" s="133">
        <v>0</v>
      </c>
      <c r="H14" s="134">
        <f>ROUND(H10*1.1%,1)</f>
        <v>0</v>
      </c>
      <c r="J14" s="128">
        <f>ROUND(D14/D$37,4)</f>
        <v>8.0000000000000004E-4</v>
      </c>
      <c r="K14" s="128">
        <v>8.9999999999999998E-4</v>
      </c>
      <c r="M14" s="129">
        <f>D14/D37</f>
        <v>7.8246284870347939E-4</v>
      </c>
    </row>
    <row r="15" spans="1:15" ht="56.25" customHeight="1" x14ac:dyDescent="0.25">
      <c r="A15" s="122" t="s">
        <v>93</v>
      </c>
      <c r="B15" s="763" t="s">
        <v>152</v>
      </c>
      <c r="C15" s="764"/>
      <c r="D15" s="123">
        <f t="shared" si="1"/>
        <v>12265</v>
      </c>
      <c r="E15" s="137"/>
      <c r="F15" s="132">
        <v>12050.44</v>
      </c>
      <c r="G15" s="133">
        <v>214.56</v>
      </c>
      <c r="H15" s="134"/>
      <c r="J15" s="128">
        <f>ROUND(D15/D$37,4)</f>
        <v>5.9999999999999995E-4</v>
      </c>
      <c r="K15" s="129">
        <v>0</v>
      </c>
      <c r="M15" s="129"/>
    </row>
    <row r="16" spans="1:15" ht="16.5" x14ac:dyDescent="0.25">
      <c r="A16" s="138" t="s">
        <v>3</v>
      </c>
      <c r="B16" s="754" t="s">
        <v>115</v>
      </c>
      <c r="C16" s="755"/>
      <c r="D16" s="123">
        <f t="shared" si="1"/>
        <v>0</v>
      </c>
      <c r="E16" s="124"/>
      <c r="F16" s="139">
        <v>0</v>
      </c>
      <c r="G16" s="131">
        <v>0</v>
      </c>
      <c r="H16" s="127">
        <v>0</v>
      </c>
      <c r="J16" s="128">
        <f t="shared" si="0"/>
        <v>0</v>
      </c>
      <c r="K16" s="128">
        <v>0</v>
      </c>
    </row>
    <row r="17" spans="1:16" ht="35.450000000000003" customHeight="1" x14ac:dyDescent="0.25">
      <c r="A17" s="138" t="s">
        <v>4</v>
      </c>
      <c r="B17" s="754" t="s">
        <v>116</v>
      </c>
      <c r="C17" s="755"/>
      <c r="D17" s="123">
        <f t="shared" si="1"/>
        <v>188298.84</v>
      </c>
      <c r="E17" s="124"/>
      <c r="F17" s="140">
        <f>75992.48+104870.55</f>
        <v>180863.03</v>
      </c>
      <c r="G17" s="187">
        <f>1088.64+1169.79+5177.38</f>
        <v>7435.81</v>
      </c>
      <c r="H17" s="127">
        <v>0</v>
      </c>
      <c r="J17" s="128">
        <f t="shared" si="0"/>
        <v>8.8999999999999999E-3</v>
      </c>
      <c r="K17" s="128">
        <v>6.4000000000000003E-3</v>
      </c>
      <c r="L17" s="142" t="s">
        <v>117</v>
      </c>
    </row>
    <row r="18" spans="1:16" ht="16.5" x14ac:dyDescent="0.25">
      <c r="A18" s="138" t="s">
        <v>6</v>
      </c>
      <c r="B18" s="754" t="s">
        <v>118</v>
      </c>
      <c r="C18" s="755"/>
      <c r="D18" s="123"/>
      <c r="E18" s="124"/>
      <c r="F18" s="139"/>
      <c r="G18" s="131"/>
      <c r="H18" s="127"/>
      <c r="J18" s="128">
        <f t="shared" si="0"/>
        <v>0</v>
      </c>
      <c r="K18" s="128">
        <v>0</v>
      </c>
    </row>
    <row r="19" spans="1:16" ht="16.5" x14ac:dyDescent="0.25">
      <c r="A19" s="138" t="s">
        <v>119</v>
      </c>
      <c r="B19" s="763" t="s">
        <v>120</v>
      </c>
      <c r="C19" s="764"/>
      <c r="D19" s="123">
        <f t="shared" ref="D19:D24" si="2">SUM(F19:H19)</f>
        <v>103777.15999999999</v>
      </c>
      <c r="E19" s="137"/>
      <c r="F19" s="139">
        <f>95328.9</f>
        <v>95328.9</v>
      </c>
      <c r="G19" s="131">
        <v>8448.26</v>
      </c>
      <c r="H19" s="127"/>
      <c r="J19" s="128">
        <f>ROUND(D19/D$37,4)</f>
        <v>4.8999999999999998E-3</v>
      </c>
      <c r="K19" s="128">
        <v>1.03E-2</v>
      </c>
    </row>
    <row r="20" spans="1:16" ht="16.5" x14ac:dyDescent="0.25">
      <c r="A20" s="138" t="s">
        <v>121</v>
      </c>
      <c r="B20" s="763" t="s">
        <v>122</v>
      </c>
      <c r="C20" s="764"/>
      <c r="D20" s="123">
        <f t="shared" si="2"/>
        <v>651285.44999999995</v>
      </c>
      <c r="E20" s="137"/>
      <c r="F20" s="139">
        <v>615744.43999999994</v>
      </c>
      <c r="G20" s="131">
        <v>35541.01</v>
      </c>
      <c r="H20" s="127"/>
      <c r="J20" s="128">
        <f t="shared" si="0"/>
        <v>3.0700000000000002E-2</v>
      </c>
      <c r="K20" s="128">
        <v>3.9800000000000002E-2</v>
      </c>
    </row>
    <row r="21" spans="1:16" ht="16.5" x14ac:dyDescent="0.25">
      <c r="A21" s="138" t="s">
        <v>123</v>
      </c>
      <c r="B21" s="763" t="s">
        <v>124</v>
      </c>
      <c r="C21" s="764"/>
      <c r="D21" s="123">
        <f t="shared" si="2"/>
        <v>455294.03000000009</v>
      </c>
      <c r="E21" s="137"/>
      <c r="F21" s="143">
        <f>725488.03-182273.93-9145.63-104870.55</f>
        <v>429197.9200000001</v>
      </c>
      <c r="G21" s="143">
        <f>44818.19-13106.97-437.73-5177.38</f>
        <v>26096.11</v>
      </c>
      <c r="H21" s="127"/>
      <c r="J21" s="128">
        <f t="shared" si="0"/>
        <v>2.1499999999999998E-2</v>
      </c>
      <c r="K21" s="128">
        <v>1.83E-2</v>
      </c>
      <c r="P21" s="120"/>
    </row>
    <row r="22" spans="1:16" ht="35.25" customHeight="1" x14ac:dyDescent="0.25">
      <c r="A22" s="138" t="s">
        <v>7</v>
      </c>
      <c r="B22" s="754" t="s">
        <v>125</v>
      </c>
      <c r="C22" s="755"/>
      <c r="D22" s="123">
        <f t="shared" si="2"/>
        <v>195380.9</v>
      </c>
      <c r="E22" s="137"/>
      <c r="F22" s="143">
        <f>182273.93</f>
        <v>182273.93</v>
      </c>
      <c r="G22" s="143">
        <f>13106.97</f>
        <v>13106.97</v>
      </c>
      <c r="H22" s="144"/>
      <c r="J22" s="128">
        <f t="shared" si="0"/>
        <v>9.1999999999999998E-3</v>
      </c>
      <c r="K22" s="128">
        <v>1.0500000000000001E-2</v>
      </c>
    </row>
    <row r="23" spans="1:16" ht="16.5" x14ac:dyDescent="0.25">
      <c r="A23" s="138" t="s">
        <v>8</v>
      </c>
      <c r="B23" s="754" t="s">
        <v>126</v>
      </c>
      <c r="C23" s="755"/>
      <c r="D23" s="123">
        <f t="shared" si="2"/>
        <v>21817.94</v>
      </c>
      <c r="E23" s="137"/>
      <c r="F23" s="139">
        <v>20300.259999999998</v>
      </c>
      <c r="G23" s="131">
        <v>1517.68</v>
      </c>
      <c r="H23" s="134">
        <v>0</v>
      </c>
      <c r="J23" s="128">
        <f t="shared" si="0"/>
        <v>1E-3</v>
      </c>
      <c r="K23" s="128">
        <v>1.2999999999999999E-3</v>
      </c>
    </row>
    <row r="24" spans="1:16" ht="16.5" x14ac:dyDescent="0.25">
      <c r="A24" s="138" t="s">
        <v>9</v>
      </c>
      <c r="B24" s="754" t="s">
        <v>127</v>
      </c>
      <c r="C24" s="755"/>
      <c r="D24" s="123">
        <f t="shared" si="2"/>
        <v>0</v>
      </c>
      <c r="E24" s="137"/>
      <c r="F24" s="139"/>
      <c r="G24" s="131"/>
      <c r="H24" s="127"/>
      <c r="J24" s="128">
        <f t="shared" si="0"/>
        <v>0</v>
      </c>
      <c r="K24" s="128">
        <v>0</v>
      </c>
    </row>
    <row r="25" spans="1:16" ht="16.5" x14ac:dyDescent="0.25">
      <c r="A25" s="138" t="s">
        <v>10</v>
      </c>
      <c r="B25" s="754" t="s">
        <v>128</v>
      </c>
      <c r="C25" s="755"/>
      <c r="D25" s="123"/>
      <c r="E25" s="137"/>
      <c r="F25" s="145"/>
      <c r="G25" s="133"/>
      <c r="H25" s="134"/>
      <c r="J25" s="128">
        <f t="shared" si="0"/>
        <v>0</v>
      </c>
      <c r="K25" s="128">
        <v>0</v>
      </c>
    </row>
    <row r="26" spans="1:16" ht="16.5" customHeight="1" x14ac:dyDescent="0.25">
      <c r="A26" s="138" t="s">
        <v>129</v>
      </c>
      <c r="B26" s="763" t="s">
        <v>130</v>
      </c>
      <c r="C26" s="764"/>
      <c r="D26" s="123">
        <f>SUM(F26:H26)</f>
        <v>2748683.64</v>
      </c>
      <c r="E26" s="137"/>
      <c r="F26" s="146">
        <f>'[7]Амортизация за 2023 на 2024'!D6:D6</f>
        <v>2748683.64</v>
      </c>
      <c r="G26" s="133">
        <v>0</v>
      </c>
      <c r="H26" s="134">
        <v>0</v>
      </c>
      <c r="J26" s="128">
        <f t="shared" si="0"/>
        <v>0.12959999999999999</v>
      </c>
      <c r="K26" s="128">
        <v>0.64080000000000004</v>
      </c>
    </row>
    <row r="27" spans="1:16" ht="40.5" customHeight="1" x14ac:dyDescent="0.25">
      <c r="A27" s="138" t="s">
        <v>131</v>
      </c>
      <c r="B27" s="763" t="s">
        <v>132</v>
      </c>
      <c r="C27" s="764"/>
      <c r="D27" s="123">
        <f t="shared" ref="D27:D35" si="3">SUM(F27:H27)</f>
        <v>572316.71000000008</v>
      </c>
      <c r="E27" s="137"/>
      <c r="F27" s="147">
        <f>'[7]Амортизация за 2023 на 2024'!D25</f>
        <v>572316.71000000008</v>
      </c>
      <c r="G27" s="133">
        <v>0</v>
      </c>
      <c r="H27" s="134">
        <v>0</v>
      </c>
      <c r="J27" s="128">
        <f t="shared" si="0"/>
        <v>2.7E-2</v>
      </c>
      <c r="K27" s="128">
        <v>8.2500000000000004E-2</v>
      </c>
    </row>
    <row r="28" spans="1:16" ht="18" customHeight="1" x14ac:dyDescent="0.25">
      <c r="A28" s="122" t="s">
        <v>11</v>
      </c>
      <c r="B28" s="754" t="s">
        <v>133</v>
      </c>
      <c r="C28" s="755"/>
      <c r="D28" s="123">
        <f t="shared" si="3"/>
        <v>0</v>
      </c>
      <c r="E28" s="137"/>
      <c r="F28" s="139"/>
      <c r="G28" s="131"/>
      <c r="H28" s="127"/>
      <c r="J28" s="128">
        <f t="shared" si="0"/>
        <v>0</v>
      </c>
      <c r="K28" s="128">
        <v>0</v>
      </c>
    </row>
    <row r="29" spans="1:16" ht="16.5" x14ac:dyDescent="0.25">
      <c r="A29" s="122" t="s">
        <v>12</v>
      </c>
      <c r="B29" s="766" t="s">
        <v>153</v>
      </c>
      <c r="C29" s="766"/>
      <c r="D29" s="123">
        <f>SUM(F29:H29)</f>
        <v>325575.5</v>
      </c>
      <c r="E29" s="137"/>
      <c r="F29" s="148">
        <f>213012.31+93655.27</f>
        <v>306667.58</v>
      </c>
      <c r="G29" s="148">
        <f>12800.12+6107.8</f>
        <v>18907.920000000002</v>
      </c>
      <c r="H29" s="134"/>
      <c r="J29" s="128">
        <f t="shared" si="0"/>
        <v>1.54E-2</v>
      </c>
      <c r="K29" s="128">
        <v>1.0500000000000001E-2</v>
      </c>
      <c r="L29" s="149"/>
    </row>
    <row r="30" spans="1:16" ht="33" customHeight="1" x14ac:dyDescent="0.25">
      <c r="A30" s="122" t="s">
        <v>13</v>
      </c>
      <c r="B30" s="767" t="s">
        <v>134</v>
      </c>
      <c r="C30" s="767"/>
      <c r="D30" s="123">
        <f t="shared" si="3"/>
        <v>1185304.51</v>
      </c>
      <c r="E30" s="137"/>
      <c r="F30" s="140">
        <f>1260470.36-75992.48</f>
        <v>1184477.8800000001</v>
      </c>
      <c r="G30" s="141">
        <f>3085.06-1169.79-1088.64</f>
        <v>826.62999999999988</v>
      </c>
      <c r="H30" s="134"/>
      <c r="J30" s="128">
        <f t="shared" si="0"/>
        <v>5.5899999999999998E-2</v>
      </c>
      <c r="K30" s="128">
        <v>4.7600000000000003E-2</v>
      </c>
      <c r="L30" s="150" t="s">
        <v>135</v>
      </c>
    </row>
    <row r="31" spans="1:16" ht="33" customHeight="1" x14ac:dyDescent="0.25">
      <c r="A31" s="122" t="s">
        <v>14</v>
      </c>
      <c r="B31" s="767" t="s">
        <v>136</v>
      </c>
      <c r="C31" s="767"/>
      <c r="D31" s="123">
        <f t="shared" si="3"/>
        <v>9583.3599999999988</v>
      </c>
      <c r="E31" s="137"/>
      <c r="F31" s="143">
        <v>9145.6299999999992</v>
      </c>
      <c r="G31" s="143">
        <v>437.73</v>
      </c>
      <c r="H31" s="134"/>
      <c r="J31" s="128">
        <f t="shared" si="0"/>
        <v>5.0000000000000001E-4</v>
      </c>
      <c r="K31" s="128">
        <v>2.9999999999999997E-4</v>
      </c>
    </row>
    <row r="32" spans="1:16" ht="16.5" customHeight="1" x14ac:dyDescent="0.25">
      <c r="A32" s="138" t="s">
        <v>15</v>
      </c>
      <c r="B32" s="754" t="s">
        <v>137</v>
      </c>
      <c r="C32" s="755"/>
      <c r="D32" s="123">
        <f t="shared" si="3"/>
        <v>61346.729999999996</v>
      </c>
      <c r="E32" s="137"/>
      <c r="F32" s="151">
        <v>61222.27</v>
      </c>
      <c r="G32" s="131">
        <v>124.46</v>
      </c>
      <c r="H32" s="134"/>
      <c r="J32" s="128">
        <f t="shared" si="0"/>
        <v>2.8999999999999998E-3</v>
      </c>
      <c r="K32" s="128">
        <v>8.9999999999999998E-4</v>
      </c>
    </row>
    <row r="33" spans="1:15" ht="16.5" x14ac:dyDescent="0.25">
      <c r="A33" s="138" t="s">
        <v>5</v>
      </c>
      <c r="B33" s="754" t="s">
        <v>138</v>
      </c>
      <c r="C33" s="755"/>
      <c r="D33" s="123">
        <f t="shared" si="3"/>
        <v>21874.45</v>
      </c>
      <c r="E33" s="137"/>
      <c r="F33" s="145">
        <v>20999.58</v>
      </c>
      <c r="G33" s="131">
        <v>874.87</v>
      </c>
      <c r="H33" s="134"/>
      <c r="J33" s="128">
        <f t="shared" si="0"/>
        <v>1E-3</v>
      </c>
      <c r="K33" s="128">
        <v>1E-3</v>
      </c>
    </row>
    <row r="34" spans="1:15" ht="16.5" customHeight="1" x14ac:dyDescent="0.25">
      <c r="A34" s="138" t="s">
        <v>16</v>
      </c>
      <c r="B34" s="754" t="s">
        <v>139</v>
      </c>
      <c r="C34" s="755"/>
      <c r="D34" s="123">
        <f t="shared" si="3"/>
        <v>281442.19</v>
      </c>
      <c r="E34" s="137"/>
      <c r="F34" s="151">
        <v>267269.12</v>
      </c>
      <c r="G34" s="131">
        <v>14173.07</v>
      </c>
      <c r="H34" s="134"/>
      <c r="J34" s="128">
        <f t="shared" si="0"/>
        <v>1.3299999999999999E-2</v>
      </c>
      <c r="K34" s="128">
        <v>1.7100000000000001E-2</v>
      </c>
    </row>
    <row r="35" spans="1:15" ht="21.75" customHeight="1" x14ac:dyDescent="0.25">
      <c r="A35" s="138" t="s">
        <v>17</v>
      </c>
      <c r="B35" s="754" t="s">
        <v>140</v>
      </c>
      <c r="C35" s="755"/>
      <c r="D35" s="123">
        <f t="shared" si="3"/>
        <v>1420467.22</v>
      </c>
      <c r="E35" s="137"/>
      <c r="F35" s="148">
        <f>1272357.1+65668.98</f>
        <v>1338026.08</v>
      </c>
      <c r="G35" s="148">
        <f>81427.01+1014.13</f>
        <v>82441.14</v>
      </c>
      <c r="H35" s="134"/>
      <c r="J35" s="128">
        <f t="shared" si="0"/>
        <v>6.7000000000000004E-2</v>
      </c>
      <c r="K35" s="128">
        <v>9.1200000000000003E-2</v>
      </c>
      <c r="L35" s="188"/>
    </row>
    <row r="36" spans="1:15" ht="16.5" x14ac:dyDescent="0.25">
      <c r="A36" s="122" t="s">
        <v>18</v>
      </c>
      <c r="B36" s="754" t="s">
        <v>141</v>
      </c>
      <c r="C36" s="755"/>
      <c r="D36" s="123">
        <f>SUM(D10:D35)</f>
        <v>20158141.390000001</v>
      </c>
      <c r="E36" s="137"/>
      <c r="F36" s="145">
        <f>SUM(F10:F35)</f>
        <v>19947995.169999994</v>
      </c>
      <c r="G36" s="133">
        <f>SUM(G17:G35)</f>
        <v>209931.65999999997</v>
      </c>
      <c r="H36" s="127"/>
      <c r="J36" s="152">
        <f>ROUND(D36/D$37,3)</f>
        <v>0.95099999999999996</v>
      </c>
      <c r="K36" s="152">
        <v>1.5760000000000001</v>
      </c>
      <c r="L36" s="152">
        <v>0.996</v>
      </c>
    </row>
    <row r="37" spans="1:15" ht="54" customHeight="1" x14ac:dyDescent="0.25">
      <c r="A37" s="122" t="s">
        <v>19</v>
      </c>
      <c r="B37" s="754" t="s">
        <v>82</v>
      </c>
      <c r="C37" s="755"/>
      <c r="D37" s="123">
        <f>SUM(F37:H37)</f>
        <v>21206220.879999995</v>
      </c>
      <c r="E37" s="137"/>
      <c r="F37" s="151">
        <f>'--Доп. зарплата (2)'!D16</f>
        <v>21206220.879999995</v>
      </c>
      <c r="G37" s="131"/>
      <c r="H37" s="127"/>
      <c r="J37" s="153"/>
      <c r="K37" s="154"/>
    </row>
    <row r="38" spans="1:15" ht="33" customHeight="1" x14ac:dyDescent="0.3">
      <c r="A38" s="155" t="s">
        <v>20</v>
      </c>
      <c r="B38" s="768" t="s">
        <v>142</v>
      </c>
      <c r="C38" s="769"/>
      <c r="D38" s="105">
        <f>ROUND(D36/D37,4)</f>
        <v>0.9506</v>
      </c>
      <c r="E38" s="189"/>
      <c r="F38" s="190"/>
      <c r="G38" s="191"/>
      <c r="H38" s="192"/>
      <c r="J38" s="154"/>
      <c r="K38" s="156"/>
    </row>
    <row r="39" spans="1:15" s="176" customFormat="1" ht="19.5" x14ac:dyDescent="0.3">
      <c r="D39" s="193"/>
      <c r="F39" s="194"/>
      <c r="J39" s="156"/>
      <c r="K39" s="107"/>
      <c r="L39" s="157"/>
      <c r="M39" s="158"/>
      <c r="N39" s="158"/>
      <c r="O39" s="158"/>
    </row>
    <row r="40" spans="1:15" s="195" customFormat="1" ht="18.75" x14ac:dyDescent="0.3">
      <c r="A40" s="195" t="s">
        <v>39</v>
      </c>
      <c r="C40" s="195" t="s">
        <v>32</v>
      </c>
      <c r="J40" s="107"/>
      <c r="K40" s="107"/>
      <c r="L40" s="159"/>
      <c r="M40" s="160"/>
      <c r="N40" s="160"/>
      <c r="O40" s="160"/>
    </row>
    <row r="41" spans="1:15" s="195" customFormat="1" ht="18.75" x14ac:dyDescent="0.3">
      <c r="J41" s="107"/>
      <c r="K41" s="107"/>
      <c r="L41" s="159"/>
      <c r="M41" s="160"/>
      <c r="N41" s="160"/>
      <c r="O41" s="160"/>
    </row>
    <row r="42" spans="1:15" s="195" customFormat="1" ht="17.25" customHeight="1" x14ac:dyDescent="0.3">
      <c r="A42" s="770" t="s">
        <v>22</v>
      </c>
      <c r="B42" s="770"/>
      <c r="C42" s="196" t="s">
        <v>33</v>
      </c>
      <c r="F42" s="197">
        <f>F36-F27-F26-F14-F13-F12-F10</f>
        <v>4723567.0599999912</v>
      </c>
      <c r="G42" s="197">
        <f>G36-G27-G26-G14-G13-G12-G10</f>
        <v>209931.65999999997</v>
      </c>
      <c r="J42" s="107"/>
      <c r="K42" s="108"/>
      <c r="L42" s="198"/>
    </row>
    <row r="43" spans="1:15" s="199" customFormat="1" ht="18.75" x14ac:dyDescent="0.2">
      <c r="C43" s="200"/>
      <c r="F43" s="199" t="s">
        <v>143</v>
      </c>
      <c r="G43" s="199" t="s">
        <v>144</v>
      </c>
      <c r="J43" s="108"/>
      <c r="K43" s="108"/>
      <c r="L43" s="161"/>
      <c r="M43" s="162"/>
      <c r="N43" s="162"/>
      <c r="O43" s="162"/>
    </row>
    <row r="44" spans="1:15" s="199" customFormat="1" ht="19.5" x14ac:dyDescent="0.3">
      <c r="A44" s="765" t="s">
        <v>25</v>
      </c>
      <c r="B44" s="765"/>
      <c r="C44" s="200" t="s">
        <v>34</v>
      </c>
      <c r="F44" s="201">
        <f>71261525.25-35012761.02-12194874.57-17921484.75-1514543.56+93655.27</f>
        <v>4711516.6199999955</v>
      </c>
      <c r="G44" s="202">
        <f>3401682.56-1471063.64-499072.16-1215811.07-11911.83+6107.8</f>
        <v>209931.66000000018</v>
      </c>
      <c r="H44" s="203"/>
      <c r="J44" s="108"/>
      <c r="K44" s="107"/>
      <c r="L44" s="161"/>
      <c r="M44" s="162"/>
      <c r="N44" s="162"/>
      <c r="O44" s="162"/>
    </row>
    <row r="45" spans="1:15" s="195" customFormat="1" ht="19.5" x14ac:dyDescent="0.3">
      <c r="F45" s="204">
        <f>F42-F44</f>
        <v>12050.439999995753</v>
      </c>
      <c r="G45" s="204">
        <f>G42-G44</f>
        <v>0</v>
      </c>
      <c r="H45" s="203" t="s">
        <v>145</v>
      </c>
      <c r="J45" s="107"/>
      <c r="K45" s="163"/>
      <c r="L45" s="159"/>
      <c r="M45" s="160"/>
      <c r="N45" s="160"/>
      <c r="O45" s="160"/>
    </row>
    <row r="46" spans="1:15" s="183" customFormat="1" ht="18.75" x14ac:dyDescent="0.3">
      <c r="D46" s="195"/>
      <c r="J46" s="163"/>
      <c r="K46" s="163"/>
      <c r="L46" s="164"/>
      <c r="M46" s="165"/>
      <c r="N46" s="165"/>
      <c r="O46" s="165"/>
    </row>
    <row r="47" spans="1:15" s="183" customFormat="1" ht="18.75" x14ac:dyDescent="0.3">
      <c r="D47" s="195"/>
      <c r="G47" s="205"/>
      <c r="J47" s="163"/>
      <c r="K47" s="163"/>
      <c r="L47" s="164"/>
      <c r="M47" s="165"/>
      <c r="N47" s="165"/>
      <c r="O47" s="165"/>
    </row>
    <row r="48" spans="1:15" s="183" customFormat="1" ht="18.75" x14ac:dyDescent="0.3">
      <c r="D48" s="195"/>
      <c r="J48" s="163"/>
      <c r="K48" s="163"/>
      <c r="L48" s="164"/>
      <c r="M48" s="165"/>
      <c r="N48" s="165"/>
      <c r="O48" s="165"/>
    </row>
    <row r="49" spans="2:15" s="183" customFormat="1" ht="13.5" customHeight="1" x14ac:dyDescent="0.3">
      <c r="D49" s="195"/>
      <c r="J49" s="163"/>
      <c r="K49" s="163"/>
      <c r="L49" s="164"/>
      <c r="M49" s="165"/>
      <c r="N49" s="165"/>
      <c r="O49" s="165"/>
    </row>
    <row r="50" spans="2:15" s="183" customFormat="1" ht="18.75" x14ac:dyDescent="0.3">
      <c r="B50" s="206"/>
      <c r="C50" s="206"/>
      <c r="D50" s="195"/>
      <c r="J50" s="163"/>
      <c r="K50" s="163"/>
      <c r="L50" s="164"/>
      <c r="M50" s="165"/>
      <c r="N50" s="165"/>
      <c r="O50" s="165"/>
    </row>
    <row r="51" spans="2:15" s="183" customFormat="1" ht="19.5" x14ac:dyDescent="0.3">
      <c r="D51" s="195"/>
      <c r="F51" s="201"/>
      <c r="G51" s="202"/>
      <c r="J51" s="163"/>
      <c r="K51" s="163"/>
      <c r="L51" s="164"/>
      <c r="M51" s="165"/>
      <c r="N51" s="165"/>
      <c r="O51" s="165"/>
    </row>
    <row r="52" spans="2:15" s="183" customFormat="1" ht="18.75" x14ac:dyDescent="0.3">
      <c r="D52" s="195"/>
      <c r="J52" s="163"/>
      <c r="K52" s="163"/>
      <c r="L52" s="164"/>
      <c r="M52" s="165"/>
      <c r="N52" s="165"/>
      <c r="O52" s="165"/>
    </row>
    <row r="53" spans="2:15" s="183" customFormat="1" ht="18.75" x14ac:dyDescent="0.3">
      <c r="D53" s="195"/>
      <c r="F53" s="207"/>
      <c r="J53" s="163"/>
      <c r="K53" s="163"/>
      <c r="L53" s="164"/>
      <c r="M53" s="165"/>
      <c r="N53" s="165"/>
      <c r="O53" s="165"/>
    </row>
    <row r="54" spans="2:15" s="183" customFormat="1" ht="18.75" x14ac:dyDescent="0.3">
      <c r="D54" s="195"/>
      <c r="G54" s="205"/>
      <c r="J54" s="163"/>
      <c r="K54" s="163"/>
      <c r="L54" s="164"/>
      <c r="M54" s="165"/>
      <c r="N54" s="165"/>
      <c r="O54" s="165"/>
    </row>
    <row r="55" spans="2:15" s="183" customFormat="1" x14ac:dyDescent="0.2">
      <c r="J55" s="163"/>
      <c r="K55" s="163"/>
      <c r="L55" s="164"/>
      <c r="M55" s="165"/>
      <c r="N55" s="165"/>
      <c r="O55" s="165"/>
    </row>
    <row r="56" spans="2:15" s="183" customFormat="1" x14ac:dyDescent="0.2">
      <c r="J56" s="163"/>
      <c r="K56" s="163"/>
      <c r="L56" s="164"/>
      <c r="M56" s="165"/>
      <c r="N56" s="165"/>
      <c r="O56" s="165"/>
    </row>
    <row r="57" spans="2:15" s="183" customFormat="1" x14ac:dyDescent="0.2">
      <c r="J57" s="163"/>
      <c r="K57" s="163"/>
      <c r="L57" s="164"/>
      <c r="M57" s="165"/>
      <c r="N57" s="165"/>
      <c r="O57" s="165"/>
    </row>
    <row r="58" spans="2:15" s="183" customFormat="1" x14ac:dyDescent="0.2">
      <c r="J58" s="163"/>
      <c r="K58" s="163"/>
      <c r="L58" s="164"/>
      <c r="M58" s="165"/>
      <c r="N58" s="165"/>
      <c r="O58" s="165"/>
    </row>
    <row r="59" spans="2:15" s="183" customFormat="1" x14ac:dyDescent="0.2">
      <c r="J59" s="163"/>
      <c r="K59" s="163"/>
      <c r="L59" s="164"/>
      <c r="M59" s="165"/>
      <c r="N59" s="165"/>
      <c r="O59" s="165"/>
    </row>
    <row r="60" spans="2:15" s="183" customFormat="1" x14ac:dyDescent="0.2">
      <c r="J60" s="163"/>
      <c r="K60" s="163"/>
      <c r="L60" s="164"/>
      <c r="M60" s="165"/>
      <c r="N60" s="165"/>
      <c r="O60" s="165"/>
    </row>
    <row r="61" spans="2:15" s="183" customFormat="1" x14ac:dyDescent="0.2">
      <c r="J61" s="163"/>
      <c r="K61" s="163"/>
      <c r="L61" s="164"/>
      <c r="M61" s="165"/>
      <c r="N61" s="165"/>
      <c r="O61" s="165"/>
    </row>
    <row r="62" spans="2:15" s="183" customFormat="1" x14ac:dyDescent="0.2">
      <c r="J62" s="163"/>
      <c r="K62" s="163"/>
      <c r="L62" s="164"/>
      <c r="M62" s="165"/>
      <c r="N62" s="165"/>
      <c r="O62" s="165"/>
    </row>
    <row r="63" spans="2:15" s="183" customFormat="1" x14ac:dyDescent="0.2">
      <c r="J63" s="163"/>
      <c r="K63" s="163"/>
      <c r="L63" s="164"/>
      <c r="M63" s="165"/>
      <c r="N63" s="165"/>
      <c r="O63" s="165"/>
    </row>
    <row r="64" spans="2:15" s="183" customFormat="1" x14ac:dyDescent="0.2">
      <c r="J64" s="163"/>
      <c r="K64" s="163"/>
      <c r="L64" s="164"/>
      <c r="M64" s="165"/>
      <c r="N64" s="165"/>
      <c r="O64" s="165"/>
    </row>
    <row r="65" spans="10:15" s="183" customFormat="1" x14ac:dyDescent="0.2">
      <c r="J65" s="163"/>
      <c r="K65" s="163"/>
      <c r="L65" s="164"/>
      <c r="M65" s="165"/>
      <c r="N65" s="165"/>
      <c r="O65" s="165"/>
    </row>
    <row r="66" spans="10:15" s="183" customFormat="1" x14ac:dyDescent="0.2">
      <c r="J66" s="163"/>
      <c r="K66" s="163"/>
      <c r="L66" s="164"/>
      <c r="M66" s="165"/>
      <c r="N66" s="165"/>
      <c r="O66" s="165"/>
    </row>
    <row r="67" spans="10:15" s="183" customFormat="1" x14ac:dyDescent="0.2">
      <c r="J67" s="163"/>
      <c r="K67" s="163"/>
      <c r="L67" s="164"/>
      <c r="M67" s="165"/>
      <c r="N67" s="165"/>
      <c r="O67" s="165"/>
    </row>
    <row r="68" spans="10:15" s="183" customFormat="1" x14ac:dyDescent="0.2">
      <c r="J68" s="163"/>
      <c r="K68" s="163"/>
      <c r="L68" s="164"/>
      <c r="M68" s="165"/>
      <c r="N68" s="165"/>
      <c r="O68" s="165"/>
    </row>
    <row r="69" spans="10:15" s="183" customFormat="1" x14ac:dyDescent="0.2">
      <c r="J69" s="163"/>
      <c r="K69" s="163"/>
      <c r="L69" s="164"/>
      <c r="M69" s="165"/>
      <c r="N69" s="165"/>
      <c r="O69" s="165"/>
    </row>
    <row r="70" spans="10:15" s="183" customFormat="1" x14ac:dyDescent="0.2">
      <c r="J70" s="163"/>
      <c r="K70" s="163"/>
      <c r="L70" s="164"/>
      <c r="M70" s="165"/>
      <c r="N70" s="165"/>
      <c r="O70" s="165"/>
    </row>
    <row r="71" spans="10:15" s="183" customFormat="1" x14ac:dyDescent="0.2">
      <c r="J71" s="163"/>
      <c r="K71" s="163"/>
      <c r="L71" s="164"/>
      <c r="M71" s="165"/>
      <c r="N71" s="165"/>
      <c r="O71" s="165"/>
    </row>
    <row r="72" spans="10:15" s="183" customFormat="1" x14ac:dyDescent="0.2">
      <c r="J72" s="163"/>
      <c r="K72" s="163"/>
      <c r="L72" s="164"/>
      <c r="M72" s="165"/>
      <c r="N72" s="165"/>
      <c r="O72" s="165"/>
    </row>
    <row r="73" spans="10:15" s="183" customFormat="1" x14ac:dyDescent="0.2">
      <c r="J73" s="163"/>
      <c r="K73" s="163"/>
      <c r="L73" s="164"/>
      <c r="M73" s="165"/>
      <c r="N73" s="165"/>
      <c r="O73" s="165"/>
    </row>
    <row r="74" spans="10:15" s="183" customFormat="1" x14ac:dyDescent="0.2">
      <c r="J74" s="163"/>
      <c r="K74" s="163"/>
      <c r="L74" s="164"/>
      <c r="M74" s="165"/>
      <c r="N74" s="165"/>
      <c r="O74" s="165"/>
    </row>
    <row r="75" spans="10:15" s="183" customFormat="1" x14ac:dyDescent="0.2">
      <c r="J75" s="163"/>
      <c r="K75" s="163"/>
      <c r="L75" s="164"/>
      <c r="M75" s="165"/>
      <c r="N75" s="165"/>
      <c r="O75" s="165"/>
    </row>
    <row r="76" spans="10:15" s="183" customFormat="1" x14ac:dyDescent="0.2">
      <c r="J76" s="163"/>
      <c r="K76" s="163"/>
      <c r="L76" s="164"/>
      <c r="M76" s="165"/>
      <c r="N76" s="165"/>
      <c r="O76" s="165"/>
    </row>
    <row r="77" spans="10:15" s="183" customFormat="1" x14ac:dyDescent="0.2">
      <c r="J77" s="163"/>
      <c r="K77" s="163"/>
      <c r="L77" s="164"/>
      <c r="M77" s="165"/>
      <c r="N77" s="165"/>
      <c r="O77" s="165"/>
    </row>
    <row r="78" spans="10:15" s="183" customFormat="1" x14ac:dyDescent="0.2">
      <c r="J78" s="163"/>
      <c r="K78" s="163"/>
      <c r="L78" s="164"/>
      <c r="M78" s="165"/>
      <c r="N78" s="165"/>
      <c r="O78" s="165"/>
    </row>
    <row r="79" spans="10:15" s="183" customFormat="1" x14ac:dyDescent="0.2">
      <c r="J79" s="163"/>
      <c r="K79" s="163"/>
      <c r="L79" s="164"/>
      <c r="M79" s="165"/>
      <c r="N79" s="165"/>
      <c r="O79" s="165"/>
    </row>
    <row r="80" spans="10:15" s="183" customFormat="1" x14ac:dyDescent="0.2">
      <c r="J80" s="163"/>
      <c r="K80" s="163"/>
      <c r="L80" s="164"/>
      <c r="M80" s="165"/>
      <c r="N80" s="165"/>
      <c r="O80" s="165"/>
    </row>
    <row r="81" spans="10:15" s="183" customFormat="1" x14ac:dyDescent="0.2">
      <c r="J81" s="163"/>
      <c r="K81" s="163"/>
      <c r="L81" s="164"/>
      <c r="M81" s="165"/>
      <c r="N81" s="165"/>
      <c r="O81" s="165"/>
    </row>
    <row r="82" spans="10:15" s="183" customFormat="1" x14ac:dyDescent="0.2">
      <c r="J82" s="163"/>
      <c r="K82" s="163"/>
      <c r="L82" s="164"/>
      <c r="M82" s="165"/>
      <c r="N82" s="165"/>
      <c r="O82" s="165"/>
    </row>
    <row r="83" spans="10:15" s="183" customFormat="1" x14ac:dyDescent="0.2">
      <c r="J83" s="163"/>
      <c r="K83" s="163"/>
      <c r="L83" s="164"/>
      <c r="M83" s="165"/>
      <c r="N83" s="165"/>
      <c r="O83" s="165"/>
    </row>
    <row r="84" spans="10:15" s="183" customFormat="1" x14ac:dyDescent="0.2">
      <c r="J84" s="163"/>
      <c r="K84" s="163"/>
      <c r="L84" s="164"/>
      <c r="M84" s="165"/>
      <c r="N84" s="165"/>
      <c r="O84" s="165"/>
    </row>
    <row r="85" spans="10:15" s="183" customFormat="1" x14ac:dyDescent="0.2">
      <c r="J85" s="163"/>
      <c r="K85" s="163"/>
      <c r="L85" s="164"/>
      <c r="M85" s="165"/>
      <c r="N85" s="165"/>
      <c r="O85" s="165"/>
    </row>
    <row r="86" spans="10:15" s="183" customFormat="1" x14ac:dyDescent="0.2">
      <c r="J86" s="163"/>
      <c r="K86" s="163"/>
      <c r="L86" s="164"/>
      <c r="M86" s="165"/>
      <c r="N86" s="165"/>
      <c r="O86" s="165"/>
    </row>
    <row r="87" spans="10:15" s="183" customFormat="1" x14ac:dyDescent="0.2">
      <c r="J87" s="163"/>
      <c r="K87" s="163"/>
      <c r="L87" s="164"/>
      <c r="M87" s="165"/>
      <c r="N87" s="165"/>
      <c r="O87" s="165"/>
    </row>
    <row r="88" spans="10:15" s="183" customFormat="1" x14ac:dyDescent="0.2">
      <c r="J88" s="163"/>
      <c r="K88" s="163"/>
      <c r="L88" s="164"/>
      <c r="M88" s="165"/>
      <c r="N88" s="165"/>
      <c r="O88" s="165"/>
    </row>
    <row r="89" spans="10:15" s="183" customFormat="1" x14ac:dyDescent="0.2">
      <c r="J89" s="163"/>
      <c r="K89" s="163"/>
      <c r="L89" s="164"/>
      <c r="M89" s="165"/>
      <c r="N89" s="165"/>
      <c r="O89" s="165"/>
    </row>
    <row r="90" spans="10:15" s="183" customFormat="1" x14ac:dyDescent="0.2">
      <c r="J90" s="163"/>
      <c r="K90" s="163"/>
      <c r="L90" s="164"/>
      <c r="M90" s="165"/>
      <c r="N90" s="165"/>
      <c r="O90" s="165"/>
    </row>
    <row r="91" spans="10:15" s="183" customFormat="1" x14ac:dyDescent="0.2">
      <c r="J91" s="163"/>
      <c r="K91" s="163"/>
      <c r="L91" s="164"/>
      <c r="M91" s="165"/>
      <c r="N91" s="165"/>
      <c r="O91" s="165"/>
    </row>
    <row r="92" spans="10:15" s="183" customFormat="1" x14ac:dyDescent="0.2">
      <c r="J92" s="163"/>
      <c r="K92" s="163"/>
      <c r="L92" s="164"/>
      <c r="M92" s="165"/>
      <c r="N92" s="165"/>
      <c r="O92" s="165"/>
    </row>
    <row r="93" spans="10:15" s="183" customFormat="1" x14ac:dyDescent="0.2">
      <c r="J93" s="163"/>
      <c r="K93" s="163"/>
      <c r="L93" s="164"/>
      <c r="M93" s="165"/>
      <c r="N93" s="165"/>
      <c r="O93" s="165"/>
    </row>
    <row r="94" spans="10:15" s="183" customFormat="1" x14ac:dyDescent="0.2">
      <c r="J94" s="163"/>
      <c r="K94" s="163"/>
      <c r="L94" s="164"/>
      <c r="M94" s="165"/>
      <c r="N94" s="165"/>
      <c r="O94" s="165"/>
    </row>
    <row r="95" spans="10:15" s="183" customFormat="1" x14ac:dyDescent="0.2">
      <c r="J95" s="163"/>
      <c r="K95" s="163"/>
      <c r="L95" s="164"/>
      <c r="M95" s="165"/>
      <c r="N95" s="165"/>
      <c r="O95" s="165"/>
    </row>
    <row r="96" spans="10:15" s="183" customFormat="1" x14ac:dyDescent="0.2">
      <c r="J96" s="163"/>
      <c r="K96" s="163"/>
      <c r="L96" s="164"/>
      <c r="M96" s="165"/>
      <c r="N96" s="165"/>
      <c r="O96" s="165"/>
    </row>
    <row r="97" spans="10:15" s="183" customFormat="1" x14ac:dyDescent="0.2">
      <c r="J97" s="163"/>
      <c r="K97" s="163"/>
      <c r="L97" s="164"/>
      <c r="M97" s="165"/>
      <c r="N97" s="165"/>
      <c r="O97" s="165"/>
    </row>
    <row r="98" spans="10:15" s="183" customFormat="1" x14ac:dyDescent="0.2">
      <c r="J98" s="163"/>
      <c r="K98" s="163"/>
      <c r="L98" s="164"/>
      <c r="M98" s="165"/>
      <c r="N98" s="165"/>
      <c r="O98" s="165"/>
    </row>
    <row r="99" spans="10:15" s="183" customFormat="1" x14ac:dyDescent="0.2">
      <c r="J99" s="163"/>
      <c r="K99" s="163"/>
      <c r="L99" s="164"/>
      <c r="M99" s="165"/>
      <c r="N99" s="165"/>
      <c r="O99" s="165"/>
    </row>
    <row r="100" spans="10:15" s="183" customFormat="1" x14ac:dyDescent="0.2">
      <c r="J100" s="163"/>
      <c r="K100" s="163"/>
      <c r="L100" s="164"/>
      <c r="M100" s="165"/>
      <c r="N100" s="165"/>
      <c r="O100" s="165"/>
    </row>
    <row r="101" spans="10:15" s="183" customFormat="1" x14ac:dyDescent="0.2">
      <c r="J101" s="163"/>
      <c r="K101" s="163"/>
      <c r="L101" s="164"/>
      <c r="M101" s="165"/>
      <c r="N101" s="165"/>
      <c r="O101" s="165"/>
    </row>
    <row r="102" spans="10:15" s="183" customFormat="1" x14ac:dyDescent="0.2">
      <c r="J102" s="163"/>
      <c r="K102" s="163"/>
      <c r="L102" s="164"/>
      <c r="M102" s="165"/>
      <c r="N102" s="165"/>
      <c r="O102" s="165"/>
    </row>
    <row r="103" spans="10:15" s="183" customFormat="1" x14ac:dyDescent="0.2">
      <c r="J103" s="163"/>
      <c r="K103" s="163"/>
      <c r="L103" s="164"/>
      <c r="M103" s="165"/>
      <c r="N103" s="165"/>
      <c r="O103" s="165"/>
    </row>
    <row r="104" spans="10:15" s="183" customFormat="1" x14ac:dyDescent="0.2">
      <c r="J104" s="163"/>
      <c r="K104" s="163"/>
      <c r="L104" s="164"/>
      <c r="M104" s="165"/>
      <c r="N104" s="165"/>
      <c r="O104" s="165"/>
    </row>
    <row r="105" spans="10:15" s="183" customFormat="1" x14ac:dyDescent="0.2">
      <c r="J105" s="163"/>
      <c r="K105" s="163"/>
      <c r="L105" s="164"/>
      <c r="M105" s="165"/>
      <c r="N105" s="165"/>
      <c r="O105" s="165"/>
    </row>
    <row r="106" spans="10:15" s="183" customFormat="1" x14ac:dyDescent="0.2">
      <c r="J106" s="163"/>
      <c r="K106" s="163"/>
      <c r="L106" s="164"/>
      <c r="M106" s="165"/>
      <c r="N106" s="165"/>
      <c r="O106" s="165"/>
    </row>
    <row r="107" spans="10:15" s="183" customFormat="1" x14ac:dyDescent="0.2">
      <c r="J107" s="163"/>
      <c r="K107" s="163"/>
      <c r="L107" s="164"/>
      <c r="M107" s="165"/>
      <c r="N107" s="165"/>
      <c r="O107" s="165"/>
    </row>
    <row r="108" spans="10:15" s="183" customFormat="1" x14ac:dyDescent="0.2">
      <c r="J108" s="163"/>
      <c r="K108" s="163"/>
      <c r="L108" s="164"/>
      <c r="M108" s="165"/>
      <c r="N108" s="165"/>
      <c r="O108" s="165"/>
    </row>
    <row r="109" spans="10:15" s="183" customFormat="1" x14ac:dyDescent="0.2">
      <c r="J109" s="163"/>
      <c r="K109" s="163"/>
      <c r="L109" s="164"/>
      <c r="M109" s="165"/>
      <c r="N109" s="165"/>
      <c r="O109" s="165"/>
    </row>
    <row r="110" spans="10:15" s="183" customFormat="1" x14ac:dyDescent="0.2">
      <c r="J110" s="163"/>
      <c r="K110" s="163"/>
      <c r="L110" s="164"/>
      <c r="M110" s="165"/>
      <c r="N110" s="165"/>
      <c r="O110" s="165"/>
    </row>
    <row r="111" spans="10:15" s="183" customFormat="1" x14ac:dyDescent="0.2">
      <c r="J111" s="163"/>
      <c r="K111" s="163"/>
      <c r="L111" s="164"/>
      <c r="M111" s="165"/>
      <c r="N111" s="165"/>
      <c r="O111" s="165"/>
    </row>
    <row r="112" spans="10:15" s="183" customFormat="1" x14ac:dyDescent="0.2">
      <c r="J112" s="163"/>
      <c r="K112" s="163"/>
      <c r="L112" s="164"/>
      <c r="M112" s="165"/>
      <c r="N112" s="165"/>
      <c r="O112" s="165"/>
    </row>
    <row r="113" spans="10:15" s="183" customFormat="1" x14ac:dyDescent="0.2">
      <c r="J113" s="163"/>
      <c r="K113" s="163"/>
      <c r="L113" s="164"/>
      <c r="M113" s="165"/>
      <c r="N113" s="165"/>
      <c r="O113" s="165"/>
    </row>
    <row r="114" spans="10:15" s="183" customFormat="1" x14ac:dyDescent="0.2">
      <c r="J114" s="163"/>
      <c r="K114" s="163"/>
      <c r="L114" s="164"/>
      <c r="M114" s="165"/>
      <c r="N114" s="165"/>
      <c r="O114" s="165"/>
    </row>
    <row r="115" spans="10:15" s="183" customFormat="1" x14ac:dyDescent="0.2">
      <c r="J115" s="163"/>
      <c r="K115" s="163"/>
      <c r="L115" s="164"/>
      <c r="M115" s="165"/>
      <c r="N115" s="165"/>
      <c r="O115" s="165"/>
    </row>
    <row r="116" spans="10:15" s="183" customFormat="1" x14ac:dyDescent="0.2">
      <c r="J116" s="163"/>
      <c r="K116" s="163"/>
      <c r="L116" s="164"/>
      <c r="M116" s="165"/>
      <c r="N116" s="165"/>
      <c r="O116" s="165"/>
    </row>
    <row r="117" spans="10:15" s="183" customFormat="1" x14ac:dyDescent="0.2">
      <c r="J117" s="163"/>
      <c r="K117" s="163"/>
      <c r="L117" s="164"/>
      <c r="M117" s="165"/>
      <c r="N117" s="165"/>
      <c r="O117" s="165"/>
    </row>
    <row r="118" spans="10:15" s="183" customFormat="1" x14ac:dyDescent="0.2">
      <c r="J118" s="163"/>
      <c r="K118" s="163"/>
      <c r="L118" s="164"/>
      <c r="M118" s="165"/>
      <c r="N118" s="165"/>
      <c r="O118" s="165"/>
    </row>
    <row r="119" spans="10:15" s="183" customFormat="1" x14ac:dyDescent="0.2">
      <c r="J119" s="163"/>
      <c r="K119" s="163"/>
      <c r="L119" s="164"/>
      <c r="M119" s="165"/>
      <c r="N119" s="165"/>
      <c r="O119" s="165"/>
    </row>
    <row r="120" spans="10:15" s="183" customFormat="1" x14ac:dyDescent="0.2">
      <c r="J120" s="163"/>
      <c r="K120" s="163"/>
      <c r="L120" s="164"/>
      <c r="M120" s="165"/>
      <c r="N120" s="165"/>
      <c r="O120" s="165"/>
    </row>
    <row r="121" spans="10:15" s="183" customFormat="1" x14ac:dyDescent="0.2">
      <c r="J121" s="163"/>
      <c r="K121" s="163"/>
      <c r="L121" s="164"/>
      <c r="M121" s="165"/>
      <c r="N121" s="165"/>
      <c r="O121" s="165"/>
    </row>
    <row r="122" spans="10:15" s="183" customFormat="1" x14ac:dyDescent="0.2">
      <c r="J122" s="163"/>
      <c r="K122" s="163"/>
      <c r="L122" s="164"/>
      <c r="M122" s="165"/>
      <c r="N122" s="165"/>
      <c r="O122" s="165"/>
    </row>
    <row r="123" spans="10:15" s="183" customFormat="1" x14ac:dyDescent="0.2">
      <c r="J123" s="163"/>
      <c r="K123" s="163"/>
      <c r="L123" s="164"/>
      <c r="M123" s="165"/>
      <c r="N123" s="165"/>
      <c r="O123" s="165"/>
    </row>
    <row r="124" spans="10:15" s="183" customFormat="1" x14ac:dyDescent="0.2">
      <c r="J124" s="163"/>
      <c r="K124" s="163"/>
      <c r="L124" s="164"/>
      <c r="M124" s="165"/>
      <c r="N124" s="165"/>
      <c r="O124" s="165"/>
    </row>
    <row r="125" spans="10:15" s="183" customFormat="1" x14ac:dyDescent="0.2">
      <c r="J125" s="163"/>
      <c r="K125" s="163"/>
      <c r="L125" s="164"/>
      <c r="M125" s="165"/>
      <c r="N125" s="165"/>
      <c r="O125" s="165"/>
    </row>
    <row r="126" spans="10:15" s="183" customFormat="1" x14ac:dyDescent="0.2">
      <c r="J126" s="163"/>
      <c r="K126" s="163"/>
      <c r="L126" s="164"/>
      <c r="M126" s="165"/>
      <c r="N126" s="165"/>
      <c r="O126" s="165"/>
    </row>
    <row r="127" spans="10:15" s="183" customFormat="1" x14ac:dyDescent="0.2">
      <c r="J127" s="163"/>
      <c r="K127" s="163"/>
      <c r="L127" s="164"/>
      <c r="M127" s="165"/>
      <c r="N127" s="165"/>
      <c r="O127" s="165"/>
    </row>
    <row r="128" spans="10:15" s="183" customFormat="1" x14ac:dyDescent="0.2">
      <c r="J128" s="163"/>
      <c r="K128" s="163"/>
      <c r="L128" s="164"/>
      <c r="M128" s="165"/>
      <c r="N128" s="165"/>
      <c r="O128" s="165"/>
    </row>
    <row r="129" spans="10:15" s="183" customFormat="1" x14ac:dyDescent="0.2">
      <c r="J129" s="163"/>
      <c r="K129" s="163"/>
      <c r="L129" s="164"/>
      <c r="M129" s="165"/>
      <c r="N129" s="165"/>
      <c r="O129" s="165"/>
    </row>
    <row r="130" spans="10:15" s="183" customFormat="1" x14ac:dyDescent="0.2">
      <c r="J130" s="163"/>
      <c r="K130" s="163"/>
      <c r="L130" s="164"/>
      <c r="M130" s="165"/>
      <c r="N130" s="165"/>
      <c r="O130" s="165"/>
    </row>
    <row r="131" spans="10:15" s="183" customFormat="1" x14ac:dyDescent="0.2">
      <c r="J131" s="163"/>
      <c r="K131" s="163"/>
      <c r="L131" s="164"/>
      <c r="M131" s="165"/>
      <c r="N131" s="165"/>
      <c r="O131" s="165"/>
    </row>
    <row r="132" spans="10:15" s="183" customFormat="1" x14ac:dyDescent="0.2">
      <c r="J132" s="163"/>
      <c r="K132" s="163"/>
      <c r="L132" s="164"/>
      <c r="M132" s="165"/>
      <c r="N132" s="165"/>
      <c r="O132" s="165"/>
    </row>
    <row r="133" spans="10:15" s="183" customFormat="1" x14ac:dyDescent="0.2">
      <c r="J133" s="163"/>
      <c r="K133" s="163"/>
      <c r="L133" s="164"/>
      <c r="M133" s="165"/>
      <c r="N133" s="165"/>
      <c r="O133" s="165"/>
    </row>
    <row r="134" spans="10:15" s="183" customFormat="1" x14ac:dyDescent="0.2">
      <c r="J134" s="163"/>
      <c r="K134" s="163"/>
      <c r="L134" s="164"/>
      <c r="M134" s="165"/>
      <c r="N134" s="165"/>
      <c r="O134" s="165"/>
    </row>
    <row r="135" spans="10:15" s="183" customFormat="1" x14ac:dyDescent="0.2">
      <c r="J135" s="163"/>
      <c r="K135" s="163"/>
      <c r="L135" s="164"/>
      <c r="M135" s="165"/>
      <c r="N135" s="165"/>
      <c r="O135" s="165"/>
    </row>
    <row r="136" spans="10:15" s="183" customFormat="1" x14ac:dyDescent="0.2">
      <c r="J136" s="163"/>
      <c r="K136" s="163"/>
      <c r="L136" s="164"/>
      <c r="M136" s="165"/>
      <c r="N136" s="165"/>
      <c r="O136" s="165"/>
    </row>
    <row r="137" spans="10:15" s="183" customFormat="1" x14ac:dyDescent="0.2">
      <c r="J137" s="163"/>
      <c r="K137" s="163"/>
      <c r="L137" s="164"/>
      <c r="M137" s="165"/>
      <c r="N137" s="165"/>
      <c r="O137" s="165"/>
    </row>
    <row r="138" spans="10:15" s="183" customFormat="1" x14ac:dyDescent="0.2">
      <c r="J138" s="163"/>
      <c r="K138" s="163"/>
      <c r="L138" s="164"/>
      <c r="M138" s="165"/>
      <c r="N138" s="165"/>
      <c r="O138" s="165"/>
    </row>
    <row r="139" spans="10:15" s="183" customFormat="1" x14ac:dyDescent="0.2">
      <c r="J139" s="163"/>
      <c r="K139" s="163"/>
      <c r="L139" s="164"/>
      <c r="M139" s="165"/>
      <c r="N139" s="165"/>
      <c r="O139" s="165"/>
    </row>
    <row r="140" spans="10:15" s="183" customFormat="1" x14ac:dyDescent="0.2">
      <c r="J140" s="163"/>
      <c r="K140" s="163"/>
      <c r="L140" s="164"/>
      <c r="M140" s="165"/>
      <c r="N140" s="165"/>
      <c r="O140" s="165"/>
    </row>
    <row r="141" spans="10:15" s="183" customFormat="1" x14ac:dyDescent="0.2">
      <c r="J141" s="163"/>
      <c r="K141" s="163"/>
      <c r="L141" s="164"/>
      <c r="M141" s="165"/>
      <c r="N141" s="165"/>
      <c r="O141" s="165"/>
    </row>
    <row r="142" spans="10:15" s="183" customFormat="1" x14ac:dyDescent="0.2">
      <c r="J142" s="163"/>
      <c r="K142" s="163"/>
      <c r="L142" s="164"/>
      <c r="M142" s="165"/>
      <c r="N142" s="165"/>
      <c r="O142" s="165"/>
    </row>
    <row r="143" spans="10:15" s="183" customFormat="1" x14ac:dyDescent="0.2">
      <c r="J143" s="163"/>
      <c r="K143" s="163"/>
      <c r="L143" s="164"/>
      <c r="M143" s="165"/>
      <c r="N143" s="165"/>
      <c r="O143" s="165"/>
    </row>
    <row r="144" spans="10:15" s="183" customFormat="1" x14ac:dyDescent="0.2">
      <c r="J144" s="163"/>
      <c r="K144" s="163"/>
      <c r="L144" s="164"/>
      <c r="M144" s="165"/>
      <c r="N144" s="165"/>
      <c r="O144" s="165"/>
    </row>
    <row r="145" spans="10:15" s="183" customFormat="1" x14ac:dyDescent="0.2">
      <c r="J145" s="163"/>
      <c r="K145" s="163"/>
      <c r="L145" s="164"/>
      <c r="M145" s="165"/>
      <c r="N145" s="165"/>
      <c r="O145" s="165"/>
    </row>
    <row r="146" spans="10:15" s="183" customFormat="1" x14ac:dyDescent="0.2">
      <c r="J146" s="163"/>
      <c r="K146" s="163"/>
      <c r="L146" s="164"/>
      <c r="M146" s="165"/>
      <c r="N146" s="165"/>
      <c r="O146" s="165"/>
    </row>
    <row r="147" spans="10:15" s="183" customFormat="1" x14ac:dyDescent="0.2">
      <c r="J147" s="163"/>
      <c r="K147" s="163"/>
      <c r="L147" s="164"/>
      <c r="M147" s="165"/>
      <c r="N147" s="165"/>
      <c r="O147" s="165"/>
    </row>
    <row r="148" spans="10:15" s="183" customFormat="1" x14ac:dyDescent="0.2">
      <c r="J148" s="163"/>
      <c r="K148" s="163"/>
      <c r="L148" s="164"/>
      <c r="M148" s="165"/>
      <c r="N148" s="165"/>
      <c r="O148" s="165"/>
    </row>
    <row r="149" spans="10:15" s="183" customFormat="1" x14ac:dyDescent="0.2">
      <c r="J149" s="163"/>
      <c r="K149" s="163"/>
      <c r="L149" s="164"/>
      <c r="M149" s="165"/>
      <c r="N149" s="165"/>
      <c r="O149" s="165"/>
    </row>
    <row r="150" spans="10:15" s="183" customFormat="1" x14ac:dyDescent="0.2">
      <c r="J150" s="163"/>
      <c r="K150" s="163"/>
      <c r="L150" s="164"/>
      <c r="M150" s="165"/>
      <c r="N150" s="165"/>
      <c r="O150" s="165"/>
    </row>
    <row r="151" spans="10:15" s="183" customFormat="1" x14ac:dyDescent="0.2">
      <c r="J151" s="163"/>
      <c r="K151" s="163"/>
      <c r="L151" s="164"/>
      <c r="M151" s="165"/>
      <c r="N151" s="165"/>
      <c r="O151" s="165"/>
    </row>
    <row r="152" spans="10:15" s="183" customFormat="1" x14ac:dyDescent="0.2">
      <c r="J152" s="163"/>
      <c r="K152" s="163"/>
      <c r="L152" s="164"/>
      <c r="M152" s="165"/>
      <c r="N152" s="165"/>
      <c r="O152" s="165"/>
    </row>
    <row r="153" spans="10:15" s="183" customFormat="1" x14ac:dyDescent="0.2">
      <c r="J153" s="163"/>
      <c r="K153" s="163"/>
      <c r="L153" s="164"/>
      <c r="M153" s="165"/>
      <c r="N153" s="165"/>
      <c r="O153" s="165"/>
    </row>
    <row r="154" spans="10:15" s="183" customFormat="1" x14ac:dyDescent="0.2">
      <c r="J154" s="163"/>
      <c r="K154" s="163"/>
      <c r="L154" s="164"/>
      <c r="M154" s="165"/>
      <c r="N154" s="165"/>
      <c r="O154" s="165"/>
    </row>
    <row r="155" spans="10:15" s="183" customFormat="1" x14ac:dyDescent="0.2">
      <c r="J155" s="163"/>
      <c r="K155" s="163"/>
      <c r="L155" s="164"/>
      <c r="M155" s="165"/>
      <c r="N155" s="165"/>
      <c r="O155" s="165"/>
    </row>
    <row r="156" spans="10:15" s="183" customFormat="1" x14ac:dyDescent="0.2">
      <c r="J156" s="163"/>
      <c r="K156" s="163"/>
      <c r="L156" s="164"/>
      <c r="M156" s="165"/>
      <c r="N156" s="165"/>
      <c r="O156" s="165"/>
    </row>
    <row r="157" spans="10:15" s="183" customFormat="1" x14ac:dyDescent="0.2">
      <c r="J157" s="163"/>
      <c r="K157" s="163"/>
      <c r="L157" s="164"/>
      <c r="M157" s="165"/>
      <c r="N157" s="165"/>
      <c r="O157" s="165"/>
    </row>
    <row r="158" spans="10:15" s="183" customFormat="1" x14ac:dyDescent="0.2">
      <c r="J158" s="163"/>
      <c r="K158" s="163"/>
      <c r="L158" s="164"/>
      <c r="M158" s="165"/>
      <c r="N158" s="165"/>
      <c r="O158" s="165"/>
    </row>
    <row r="159" spans="10:15" s="183" customFormat="1" x14ac:dyDescent="0.2">
      <c r="J159" s="163"/>
      <c r="K159" s="163"/>
      <c r="L159" s="164"/>
      <c r="M159" s="165"/>
      <c r="N159" s="165"/>
      <c r="O159" s="165"/>
    </row>
    <row r="160" spans="10:15" s="183" customFormat="1" x14ac:dyDescent="0.2">
      <c r="J160" s="163"/>
      <c r="K160" s="163"/>
      <c r="L160" s="164"/>
      <c r="M160" s="165"/>
      <c r="N160" s="165"/>
      <c r="O160" s="165"/>
    </row>
    <row r="161" spans="10:15" s="183" customFormat="1" x14ac:dyDescent="0.2">
      <c r="J161" s="163"/>
      <c r="K161" s="163"/>
      <c r="L161" s="164"/>
      <c r="M161" s="165"/>
      <c r="N161" s="165"/>
      <c r="O161" s="165"/>
    </row>
    <row r="162" spans="10:15" s="183" customFormat="1" x14ac:dyDescent="0.2">
      <c r="J162" s="163"/>
      <c r="K162" s="163"/>
      <c r="L162" s="164"/>
      <c r="M162" s="165"/>
      <c r="N162" s="165"/>
      <c r="O162" s="165"/>
    </row>
    <row r="163" spans="10:15" s="183" customFormat="1" x14ac:dyDescent="0.2">
      <c r="J163" s="163"/>
      <c r="K163" s="163"/>
      <c r="L163" s="164"/>
      <c r="M163" s="165"/>
      <c r="N163" s="165"/>
      <c r="O163" s="165"/>
    </row>
    <row r="164" spans="10:15" s="183" customFormat="1" x14ac:dyDescent="0.2">
      <c r="J164" s="163"/>
      <c r="K164" s="163"/>
      <c r="L164" s="164"/>
      <c r="M164" s="165"/>
      <c r="N164" s="165"/>
      <c r="O164" s="165"/>
    </row>
    <row r="165" spans="10:15" s="183" customFormat="1" x14ac:dyDescent="0.2">
      <c r="J165" s="163"/>
      <c r="K165" s="163"/>
      <c r="L165" s="164"/>
      <c r="M165" s="165"/>
      <c r="N165" s="165"/>
      <c r="O165" s="165"/>
    </row>
    <row r="166" spans="10:15" s="183" customFormat="1" x14ac:dyDescent="0.2">
      <c r="J166" s="163"/>
      <c r="K166" s="163"/>
      <c r="L166" s="164"/>
      <c r="M166" s="165"/>
      <c r="N166" s="165"/>
      <c r="O166" s="165"/>
    </row>
    <row r="167" spans="10:15" s="183" customFormat="1" x14ac:dyDescent="0.2">
      <c r="J167" s="163"/>
      <c r="K167" s="163"/>
      <c r="L167" s="164"/>
      <c r="M167" s="165"/>
      <c r="N167" s="165"/>
      <c r="O167" s="165"/>
    </row>
    <row r="168" spans="10:15" s="183" customFormat="1" x14ac:dyDescent="0.2">
      <c r="J168" s="163"/>
      <c r="K168" s="163"/>
      <c r="L168" s="164"/>
      <c r="M168" s="165"/>
      <c r="N168" s="165"/>
      <c r="O168" s="165"/>
    </row>
    <row r="169" spans="10:15" s="183" customFormat="1" x14ac:dyDescent="0.2">
      <c r="J169" s="163"/>
      <c r="K169" s="163"/>
      <c r="L169" s="164"/>
      <c r="M169" s="165"/>
      <c r="N169" s="165"/>
      <c r="O169" s="165"/>
    </row>
    <row r="170" spans="10:15" s="183" customFormat="1" x14ac:dyDescent="0.2">
      <c r="J170" s="163"/>
      <c r="K170" s="163"/>
      <c r="L170" s="164"/>
      <c r="M170" s="165"/>
      <c r="N170" s="165"/>
      <c r="O170" s="165"/>
    </row>
    <row r="171" spans="10:15" s="183" customFormat="1" x14ac:dyDescent="0.2">
      <c r="J171" s="163"/>
      <c r="K171" s="163"/>
      <c r="L171" s="164"/>
      <c r="M171" s="165"/>
      <c r="N171" s="165"/>
      <c r="O171" s="165"/>
    </row>
    <row r="172" spans="10:15" s="183" customFormat="1" x14ac:dyDescent="0.2">
      <c r="J172" s="163"/>
      <c r="K172" s="163"/>
      <c r="L172" s="164"/>
      <c r="M172" s="165"/>
      <c r="N172" s="165"/>
      <c r="O172" s="165"/>
    </row>
    <row r="173" spans="10:15" s="183" customFormat="1" x14ac:dyDescent="0.2">
      <c r="J173" s="163"/>
      <c r="K173" s="163"/>
      <c r="L173" s="164"/>
      <c r="M173" s="165"/>
      <c r="N173" s="165"/>
      <c r="O173" s="165"/>
    </row>
    <row r="174" spans="10:15" s="183" customFormat="1" x14ac:dyDescent="0.2">
      <c r="J174" s="163"/>
      <c r="K174" s="163"/>
      <c r="L174" s="164"/>
      <c r="M174" s="165"/>
      <c r="N174" s="165"/>
      <c r="O174" s="165"/>
    </row>
    <row r="175" spans="10:15" s="183" customFormat="1" x14ac:dyDescent="0.2">
      <c r="J175" s="163"/>
      <c r="K175" s="163"/>
      <c r="L175" s="164"/>
      <c r="M175" s="165"/>
      <c r="N175" s="165"/>
      <c r="O175" s="165"/>
    </row>
    <row r="176" spans="10:15" s="183" customFormat="1" x14ac:dyDescent="0.2">
      <c r="J176" s="163"/>
      <c r="K176" s="163"/>
      <c r="L176" s="164"/>
      <c r="M176" s="165"/>
      <c r="N176" s="165"/>
      <c r="O176" s="165"/>
    </row>
    <row r="177" spans="10:15" s="183" customFormat="1" x14ac:dyDescent="0.2">
      <c r="J177" s="163"/>
      <c r="K177" s="163"/>
      <c r="L177" s="164"/>
      <c r="M177" s="165"/>
      <c r="N177" s="165"/>
      <c r="O177" s="165"/>
    </row>
    <row r="178" spans="10:15" s="183" customFormat="1" x14ac:dyDescent="0.2">
      <c r="J178" s="163"/>
      <c r="K178" s="129"/>
      <c r="L178" s="164"/>
      <c r="M178" s="165"/>
      <c r="N178" s="165"/>
      <c r="O178" s="165"/>
    </row>
  </sheetData>
  <mergeCells count="36">
    <mergeCell ref="A44:B44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2:B42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C1:D1"/>
    <mergeCell ref="C2:D2"/>
    <mergeCell ref="C3:D3"/>
    <mergeCell ref="A7:D7"/>
    <mergeCell ref="B9:C9"/>
    <mergeCell ref="B10:C10"/>
    <mergeCell ref="B11:C11"/>
    <mergeCell ref="B12:C12"/>
    <mergeCell ref="B13:C13"/>
    <mergeCell ref="B14:C14"/>
    <mergeCell ref="B15:C15"/>
  </mergeCells>
  <pageMargins left="1.0629921259842521" right="0.19685039370078741" top="0.78740157480314965" bottom="0.78740157480314965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+_Информация об уровне плат РБ</vt:lpstr>
      <vt:lpstr>+_Информация об уровне плат ИГ</vt:lpstr>
      <vt:lpstr>Лист1</vt:lpstr>
      <vt:lpstr>Калькуляция рб</vt:lpstr>
      <vt:lpstr>Калькуляция ИГ</vt:lpstr>
      <vt:lpstr>Зарплата за минуту </vt:lpstr>
      <vt:lpstr>Дополнительная зп (2)</vt:lpstr>
      <vt:lpstr>Взносы</vt:lpstr>
      <vt:lpstr>--Накладные расчеты на 2024 (2)</vt:lpstr>
      <vt:lpstr>--Доп. зарплата (2)</vt:lpstr>
      <vt:lpstr>Лист2</vt:lpstr>
      <vt:lpstr>'+_Информация об уровне плат ИГ'!Заголовки_для_печати</vt:lpstr>
      <vt:lpstr>'+_Информация об уровне плат РБ'!Заголовки_для_печати</vt:lpstr>
      <vt:lpstr>'Зарплата за минуту '!Заголовки_для_печати</vt:lpstr>
      <vt:lpstr>'Калькуляция ИГ'!Заголовки_для_печати</vt:lpstr>
      <vt:lpstr>'Калькуляция рб'!Заголовки_для_печати</vt:lpstr>
      <vt:lpstr>'--Накладные расчеты на 2024 (2)'!Заголовки_для_печати</vt:lpstr>
      <vt:lpstr>'--Доп. зарплата (2)'!Область_печати</vt:lpstr>
      <vt:lpstr>'Калькуляция ИГ'!Область_печати</vt:lpstr>
      <vt:lpstr>'Калькуляция рб'!Область_печати</vt:lpstr>
      <vt:lpstr>'--Накладные расчеты на 2024 (2)'!Область_печати</vt:lpstr>
    </vt:vector>
  </TitlesOfParts>
  <Company>GOCB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Спец. по аттестации (начальник)</cp:lastModifiedBy>
  <cp:lastPrinted>2025-01-24T07:16:59Z</cp:lastPrinted>
  <dcterms:created xsi:type="dcterms:W3CDTF">1999-06-02T14:01:55Z</dcterms:created>
  <dcterms:modified xsi:type="dcterms:W3CDTF">2025-01-24T07:17:04Z</dcterms:modified>
</cp:coreProperties>
</file>